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4240" windowHeight="13890" tabRatio="816" firstSheet="2" activeTab="2"/>
  </bookViews>
  <sheets>
    <sheet name="RiskSerializationData" sheetId="4" state="hidden" r:id="rId1"/>
    <sheet name="RiskSwappedFuncs" sheetId="34" state="hidden" r:id="rId2"/>
    <sheet name="Model Description" sheetId="25" r:id="rId3"/>
    <sheet name="SW CC no change" sheetId="20" r:id="rId4"/>
    <sheet name="SW SF no change" sheetId="22" r:id="rId5"/>
    <sheet name="WW CC no change" sheetId="23" r:id="rId6"/>
    <sheet name="senseInfo" sheetId="32" state="hidden" r:id="rId7"/>
    <sheet name="SW CC grad" sheetId="1" r:id="rId8"/>
    <sheet name="SW SF grad" sheetId="12" r:id="rId9"/>
    <sheet name="WW CC grad nr" sheetId="30" r:id="rId10"/>
    <sheet name="WW CC grad r" sheetId="29" r:id="rId11"/>
    <sheet name="NPV comparisons" sheetId="15" r:id="rId12"/>
    <sheet name="_@RISKFitInformation" sheetId="28" state="hidden" r:id="rId13"/>
    <sheet name="USDA Farm Spreadsheets" sheetId="31" r:id="rId14"/>
    <sheet name="Sheet2" sheetId="33" r:id="rId15"/>
  </sheets>
  <definedNames>
    <definedName name="_AtRisk_FitDataRange_FIT_19DDC_834BD" hidden="1">'Model Description'!$S$24:$S$40</definedName>
    <definedName name="_AtRisk_FitDataRange_FIT_3DD34_1BD47" hidden="1">'Model Description'!$S$24:$S$40</definedName>
    <definedName name="_AtRisk_FitDataRange_FIT_7D173_3EEC0" hidden="1">'Model Description'!$R$24:$R$40</definedName>
    <definedName name="_AtRisk_FitDataRange_FIT_7EB23_CFA75" hidden="1">'Model Description'!$S$24:$S$40</definedName>
    <definedName name="_AtRisk_FitDataRange_FIT_822EC_B2A83" hidden="1">'Model Description'!$R$24:$R$40</definedName>
    <definedName name="_AtRisk_FitDataRange_FIT_F02EB_2C84C" hidden="1">'Model Description'!$R$24:$R$40</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"X4LYKZC5YJZL4CAEF6T4Y7KH"</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FALSE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C11" i="28" l="1"/>
  <c r="C12" i="28"/>
  <c r="C13" i="28"/>
  <c r="C14" i="28"/>
  <c r="C15" i="28"/>
  <c r="C16" i="28"/>
  <c r="MK2" i="34"/>
  <c r="OA2" i="34"/>
  <c r="AAI2" i="34"/>
  <c r="ABZ2" i="34"/>
  <c r="ACU2" i="34"/>
  <c r="AJQ2" i="34"/>
  <c r="AKW2" i="34"/>
  <c r="ALM2" i="34"/>
  <c r="AUG2" i="34"/>
  <c r="BDC2" i="34"/>
  <c r="BDS2" i="34"/>
  <c r="BES2" i="34"/>
  <c r="BEZ2" i="34"/>
  <c r="BFB2" i="34"/>
  <c r="BFD2" i="34"/>
  <c r="BFI2" i="34"/>
  <c r="BFJ2" i="34"/>
  <c r="BFO2" i="34"/>
  <c r="BFT2" i="34"/>
  <c r="BGE2" i="34"/>
  <c r="BGF2" i="34"/>
  <c r="BGH2" i="34"/>
  <c r="BGJ2" i="34"/>
  <c r="BGP2" i="34"/>
  <c r="BGU2" i="34"/>
  <c r="BGZ2" i="34"/>
  <c r="BHD2" i="34"/>
  <c r="BHL2" i="34"/>
  <c r="BIB2" i="34"/>
  <c r="BJF2" i="34"/>
  <c r="BJG2" i="34"/>
  <c r="BJU2" i="34"/>
  <c r="BLA2" i="34"/>
  <c r="BOG2" i="34"/>
  <c r="BOK2" i="34"/>
  <c r="BOS2" i="34"/>
  <c r="BOW2" i="34"/>
  <c r="BPA2" i="34"/>
  <c r="BPI2" i="34"/>
  <c r="BPM2" i="34"/>
  <c r="BPQ2" i="34"/>
  <c r="BPY2" i="34"/>
  <c r="BQC2" i="34"/>
  <c r="BQG2" i="34"/>
  <c r="BQO2" i="34"/>
  <c r="BQS2" i="34"/>
  <c r="BQW2" i="34"/>
  <c r="BRE2" i="34"/>
  <c r="BRI2" i="34"/>
  <c r="BRM2" i="34"/>
  <c r="BRU2" i="34"/>
  <c r="BRY2" i="34"/>
  <c r="BSC2" i="34"/>
  <c r="BSK2" i="34"/>
  <c r="BSO2" i="34"/>
  <c r="BSS2" i="34"/>
  <c r="BTD2" i="34"/>
  <c r="BTE2" i="34"/>
  <c r="BTM2" i="34"/>
  <c r="BTT2" i="34"/>
  <c r="BTU2" i="34"/>
  <c r="BUJ2" i="34"/>
  <c r="BUK2" i="34"/>
  <c r="BUZ2" i="34"/>
  <c r="BVA2" i="34"/>
  <c r="BVI2" i="34"/>
  <c r="BVP2" i="34"/>
  <c r="BWF2" i="34"/>
  <c r="BWV2" i="34"/>
  <c r="BXL2" i="34"/>
  <c r="BXY2" i="34"/>
  <c r="BZE2" i="34"/>
  <c r="BZF2" i="34"/>
  <c r="T16" i="29"/>
  <c r="D16" i="29"/>
  <c r="AF15" i="29"/>
  <c r="CAD2" i="34" s="1"/>
  <c r="AB15" i="29"/>
  <c r="T15" i="29"/>
  <c r="BWU2" i="34" s="1"/>
  <c r="L15" i="29"/>
  <c r="H15" i="29"/>
  <c r="D15" i="29"/>
  <c r="BVO2" i="34" s="1"/>
  <c r="AF11" i="29"/>
  <c r="BXT2" i="34" s="1"/>
  <c r="AB11" i="29"/>
  <c r="AA11" i="29"/>
  <c r="BUY2" i="34" s="1"/>
  <c r="X11" i="29"/>
  <c r="X15" i="29" s="1"/>
  <c r="T11" i="29"/>
  <c r="S11" i="29"/>
  <c r="BUI2" i="34" s="1"/>
  <c r="P11" i="29"/>
  <c r="L11" i="29"/>
  <c r="K11" i="29"/>
  <c r="H11" i="29"/>
  <c r="BVX2" i="34" s="1"/>
  <c r="D11" i="29"/>
  <c r="C11" i="29"/>
  <c r="AF8" i="29"/>
  <c r="BVJ2" i="34" s="1"/>
  <c r="AE8" i="29"/>
  <c r="AD8" i="29"/>
  <c r="BVF2" i="34" s="1"/>
  <c r="AC8" i="29"/>
  <c r="AC11" i="29" s="1"/>
  <c r="AB8" i="29"/>
  <c r="BVB2" i="34" s="1"/>
  <c r="AA8" i="29"/>
  <c r="Z8" i="29"/>
  <c r="Y8" i="29"/>
  <c r="X8" i="29"/>
  <c r="BUT2" i="34" s="1"/>
  <c r="W8" i="29"/>
  <c r="V8" i="29"/>
  <c r="BUP2" i="34" s="1"/>
  <c r="U8" i="29"/>
  <c r="U11" i="29" s="1"/>
  <c r="T8" i="29"/>
  <c r="BUL2" i="34" s="1"/>
  <c r="S8" i="29"/>
  <c r="R8" i="29"/>
  <c r="Q8" i="29"/>
  <c r="P8" i="29"/>
  <c r="BUD2" i="34" s="1"/>
  <c r="O8" i="29"/>
  <c r="N8" i="29"/>
  <c r="BTZ2" i="34" s="1"/>
  <c r="M8" i="29"/>
  <c r="M11" i="29" s="1"/>
  <c r="L8" i="29"/>
  <c r="BTV2" i="34" s="1"/>
  <c r="K8" i="29"/>
  <c r="J8" i="29"/>
  <c r="I8" i="29"/>
  <c r="H8" i="29"/>
  <c r="BTN2" i="34" s="1"/>
  <c r="G8" i="29"/>
  <c r="F8" i="29"/>
  <c r="BTJ2" i="34" s="1"/>
  <c r="E8" i="29"/>
  <c r="E11" i="29" s="1"/>
  <c r="D8" i="29"/>
  <c r="BTF2" i="34" s="1"/>
  <c r="C8" i="29"/>
  <c r="B8" i="29"/>
  <c r="AF26" i="30"/>
  <c r="AE26" i="30"/>
  <c r="BQM2" i="34" s="1"/>
  <c r="AD26" i="30"/>
  <c r="BQK2" i="34" s="1"/>
  <c r="AC26" i="30"/>
  <c r="BQI2" i="34" s="1"/>
  <c r="AB26" i="30"/>
  <c r="AA26" i="30"/>
  <c r="BQE2" i="34" s="1"/>
  <c r="Z26" i="30"/>
  <c r="Y26" i="30"/>
  <c r="BQA2" i="34" s="1"/>
  <c r="X26" i="30"/>
  <c r="W26" i="30"/>
  <c r="BPW2" i="34" s="1"/>
  <c r="V26" i="30"/>
  <c r="BPU2" i="34" s="1"/>
  <c r="U26" i="30"/>
  <c r="BPS2" i="34" s="1"/>
  <c r="T26" i="30"/>
  <c r="S26" i="30"/>
  <c r="BPO2" i="34" s="1"/>
  <c r="R26" i="30"/>
  <c r="Q26" i="30"/>
  <c r="BPK2" i="34" s="1"/>
  <c r="P26" i="30"/>
  <c r="O26" i="30"/>
  <c r="BPG2" i="34" s="1"/>
  <c r="N26" i="30"/>
  <c r="BPE2" i="34" s="1"/>
  <c r="M26" i="30"/>
  <c r="BPC2" i="34" s="1"/>
  <c r="L26" i="30"/>
  <c r="K26" i="30"/>
  <c r="BOY2" i="34" s="1"/>
  <c r="J26" i="30"/>
  <c r="I26" i="30"/>
  <c r="BOU2" i="34" s="1"/>
  <c r="H26" i="30"/>
  <c r="G26" i="30"/>
  <c r="BOQ2" i="34" s="1"/>
  <c r="F26" i="30"/>
  <c r="BOO2" i="34" s="1"/>
  <c r="E26" i="30"/>
  <c r="BOM2" i="34" s="1"/>
  <c r="D26" i="30"/>
  <c r="C26" i="30"/>
  <c r="BOI2" i="34" s="1"/>
  <c r="B26" i="30"/>
  <c r="V17" i="30"/>
  <c r="F17" i="30"/>
  <c r="AD16" i="30"/>
  <c r="V16" i="30"/>
  <c r="BIQ2" i="34" s="1"/>
  <c r="N16" i="30"/>
  <c r="J16" i="30"/>
  <c r="F16" i="30"/>
  <c r="BHK2" i="34" s="1"/>
  <c r="AD12" i="30"/>
  <c r="BJH2" i="34" s="1"/>
  <c r="AC12" i="30"/>
  <c r="AC16" i="30" s="1"/>
  <c r="AB12" i="30"/>
  <c r="Z12" i="30"/>
  <c r="V12" i="30"/>
  <c r="BIR2" i="34" s="1"/>
  <c r="U12" i="30"/>
  <c r="BIP2" i="34" s="1"/>
  <c r="R12" i="30"/>
  <c r="BIJ2" i="34" s="1"/>
  <c r="N12" i="30"/>
  <c r="BFQ2" i="34" s="1"/>
  <c r="M12" i="30"/>
  <c r="J12" i="30"/>
  <c r="BHT2" i="34" s="1"/>
  <c r="F12" i="30"/>
  <c r="BFA2" i="34" s="1"/>
  <c r="E12" i="30"/>
  <c r="B12" i="30"/>
  <c r="B16" i="30" s="1"/>
  <c r="AF9" i="30"/>
  <c r="AE9" i="30"/>
  <c r="BEO2" i="34" s="1"/>
  <c r="AD9" i="30"/>
  <c r="BEM2" i="34" s="1"/>
  <c r="AC9" i="30"/>
  <c r="BGV2" i="34" s="1"/>
  <c r="AB9" i="30"/>
  <c r="BGT2" i="34" s="1"/>
  <c r="AA9" i="30"/>
  <c r="Z9" i="30"/>
  <c r="BEE2" i="34" s="1"/>
  <c r="Y9" i="30"/>
  <c r="BGN2" i="34" s="1"/>
  <c r="X9" i="30"/>
  <c r="W9" i="30"/>
  <c r="BDY2" i="34" s="1"/>
  <c r="V9" i="30"/>
  <c r="BDW2" i="34" s="1"/>
  <c r="U9" i="30"/>
  <c r="BDU2" i="34" s="1"/>
  <c r="T9" i="30"/>
  <c r="BGD2" i="34" s="1"/>
  <c r="S9" i="30"/>
  <c r="R9" i="30"/>
  <c r="BDO2" i="34" s="1"/>
  <c r="Q9" i="30"/>
  <c r="P9" i="30"/>
  <c r="O9" i="30"/>
  <c r="BDI2" i="34" s="1"/>
  <c r="N9" i="30"/>
  <c r="BDG2" i="34" s="1"/>
  <c r="M9" i="30"/>
  <c r="BFP2" i="34" s="1"/>
  <c r="L9" i="30"/>
  <c r="L12" i="30" s="1"/>
  <c r="K9" i="30"/>
  <c r="J9" i="30"/>
  <c r="BCY2" i="34" s="1"/>
  <c r="I9" i="30"/>
  <c r="H9" i="30"/>
  <c r="G9" i="30"/>
  <c r="BCS2" i="34" s="1"/>
  <c r="F9" i="30"/>
  <c r="BCQ2" i="34" s="1"/>
  <c r="E9" i="30"/>
  <c r="BCO2" i="34" s="1"/>
  <c r="D9" i="30"/>
  <c r="BEX2" i="34" s="1"/>
  <c r="C9" i="30"/>
  <c r="B9" i="30"/>
  <c r="BCI2" i="34" s="1"/>
  <c r="AF8" i="12"/>
  <c r="AVC2" i="34" s="1"/>
  <c r="AE8" i="12"/>
  <c r="AVA2" i="34" s="1"/>
  <c r="AD8" i="12"/>
  <c r="AUY2" i="34" s="1"/>
  <c r="AC8" i="12"/>
  <c r="AUW2" i="34" s="1"/>
  <c r="AB8" i="12"/>
  <c r="AUU2" i="34" s="1"/>
  <c r="AA8" i="12"/>
  <c r="AUS2" i="34" s="1"/>
  <c r="Z8" i="12"/>
  <c r="AUQ2" i="34" s="1"/>
  <c r="Y8" i="12"/>
  <c r="AUO2" i="34" s="1"/>
  <c r="X8" i="12"/>
  <c r="AUM2" i="34" s="1"/>
  <c r="W8" i="12"/>
  <c r="AUK2" i="34" s="1"/>
  <c r="V8" i="12"/>
  <c r="AUI2" i="34" s="1"/>
  <c r="U8" i="12"/>
  <c r="T8" i="12"/>
  <c r="AUE2" i="34" s="1"/>
  <c r="S8" i="12"/>
  <c r="AUC2" i="34" s="1"/>
  <c r="R8" i="12"/>
  <c r="AUA2" i="34" s="1"/>
  <c r="Q8" i="12"/>
  <c r="ATY2" i="34" s="1"/>
  <c r="P8" i="12"/>
  <c r="ATW2" i="34" s="1"/>
  <c r="O8" i="12"/>
  <c r="ATU2" i="34" s="1"/>
  <c r="N8" i="12"/>
  <c r="ATS2" i="34" s="1"/>
  <c r="M8" i="12"/>
  <c r="ATQ2" i="34" s="1"/>
  <c r="L8" i="12"/>
  <c r="ATO2" i="34" s="1"/>
  <c r="K8" i="12"/>
  <c r="ATM2" i="34" s="1"/>
  <c r="J8" i="12"/>
  <c r="ATK2" i="34" s="1"/>
  <c r="I8" i="12"/>
  <c r="ATI2" i="34" s="1"/>
  <c r="H8" i="12"/>
  <c r="ATG2" i="34" s="1"/>
  <c r="G8" i="12"/>
  <c r="ATE2" i="34" s="1"/>
  <c r="F8" i="12"/>
  <c r="ATC2" i="34" s="1"/>
  <c r="E8" i="12"/>
  <c r="ATA2" i="34" s="1"/>
  <c r="D8" i="12"/>
  <c r="ASY2" i="34" s="1"/>
  <c r="C8" i="12"/>
  <c r="ASW2" i="34" s="1"/>
  <c r="B8" i="12"/>
  <c r="ASU2" i="34" s="1"/>
  <c r="AF8" i="1"/>
  <c r="ALO2" i="34" s="1"/>
  <c r="AE8" i="1"/>
  <c r="AD8" i="1"/>
  <c r="ALK2" i="34" s="1"/>
  <c r="AC8" i="1"/>
  <c r="ALI2" i="34" s="1"/>
  <c r="AB8" i="1"/>
  <c r="ALG2" i="34" s="1"/>
  <c r="AA8" i="1"/>
  <c r="ALE2" i="34" s="1"/>
  <c r="Z8" i="1"/>
  <c r="ALC2" i="34" s="1"/>
  <c r="Y8" i="1"/>
  <c r="ALA2" i="34" s="1"/>
  <c r="X8" i="1"/>
  <c r="AKY2" i="34" s="1"/>
  <c r="W8" i="1"/>
  <c r="V8" i="1"/>
  <c r="AKU2" i="34" s="1"/>
  <c r="U8" i="1"/>
  <c r="AKS2" i="34" s="1"/>
  <c r="T8" i="1"/>
  <c r="AKQ2" i="34" s="1"/>
  <c r="S8" i="1"/>
  <c r="AKO2" i="34" s="1"/>
  <c r="R8" i="1"/>
  <c r="AKM2" i="34" s="1"/>
  <c r="Q8" i="1"/>
  <c r="AKK2" i="34" s="1"/>
  <c r="P8" i="1"/>
  <c r="AKI2" i="34" s="1"/>
  <c r="O8" i="1"/>
  <c r="AKG2" i="34" s="1"/>
  <c r="N8" i="1"/>
  <c r="AKE2" i="34" s="1"/>
  <c r="M8" i="1"/>
  <c r="AKC2" i="34" s="1"/>
  <c r="L8" i="1"/>
  <c r="AKA2" i="34" s="1"/>
  <c r="K8" i="1"/>
  <c r="AJY2" i="34" s="1"/>
  <c r="J8" i="1"/>
  <c r="AJW2" i="34" s="1"/>
  <c r="I8" i="1"/>
  <c r="AJU2" i="34" s="1"/>
  <c r="H8" i="1"/>
  <c r="AJS2" i="34" s="1"/>
  <c r="G8" i="1"/>
  <c r="F8" i="1"/>
  <c r="AJO2" i="34" s="1"/>
  <c r="E8" i="1"/>
  <c r="AJM2" i="34" s="1"/>
  <c r="D8" i="1"/>
  <c r="AJK2" i="34" s="1"/>
  <c r="C8" i="1"/>
  <c r="AJI2" i="34" s="1"/>
  <c r="B8" i="1"/>
  <c r="AJG2" i="34" s="1"/>
  <c r="AB16" i="23"/>
  <c r="AGM2" i="34" s="1"/>
  <c r="AA16" i="23"/>
  <c r="T16" i="23"/>
  <c r="AFW2" i="34" s="1"/>
  <c r="S16" i="23"/>
  <c r="L16" i="23"/>
  <c r="K16" i="23"/>
  <c r="D16" i="23"/>
  <c r="C16" i="23"/>
  <c r="AB15" i="23"/>
  <c r="AA15" i="23"/>
  <c r="Z15" i="23"/>
  <c r="W15" i="23"/>
  <c r="T15" i="23"/>
  <c r="S15" i="23"/>
  <c r="R15" i="23"/>
  <c r="O15" i="23"/>
  <c r="L15" i="23"/>
  <c r="K15" i="23"/>
  <c r="AFF2" i="34" s="1"/>
  <c r="J15" i="23"/>
  <c r="D15" i="23"/>
  <c r="C15" i="23"/>
  <c r="B15" i="23"/>
  <c r="AE11" i="23"/>
  <c r="AB11" i="23"/>
  <c r="AA11" i="23"/>
  <c r="Z11" i="23"/>
  <c r="ADZ2" i="34" s="1"/>
  <c r="Y11" i="23"/>
  <c r="W11" i="23"/>
  <c r="V11" i="23"/>
  <c r="T11" i="23"/>
  <c r="S11" i="23"/>
  <c r="R11" i="23"/>
  <c r="Q11" i="23"/>
  <c r="O11" i="23"/>
  <c r="L11" i="23"/>
  <c r="K11" i="23"/>
  <c r="J11" i="23"/>
  <c r="ACT2" i="34" s="1"/>
  <c r="I11" i="23"/>
  <c r="G11" i="23"/>
  <c r="G15" i="23" s="1"/>
  <c r="D11" i="23"/>
  <c r="C11" i="23"/>
  <c r="B11" i="23"/>
  <c r="AF8" i="23"/>
  <c r="AE8" i="23"/>
  <c r="ZO2" i="34" s="1"/>
  <c r="AD8" i="23"/>
  <c r="AC8" i="23"/>
  <c r="AB8" i="23"/>
  <c r="AA8" i="23"/>
  <c r="Z8" i="23"/>
  <c r="Y8" i="23"/>
  <c r="X8" i="23"/>
  <c r="W8" i="23"/>
  <c r="V8" i="23"/>
  <c r="U8" i="23"/>
  <c r="T8" i="23"/>
  <c r="YS2" i="34" s="1"/>
  <c r="S8" i="23"/>
  <c r="R8" i="23"/>
  <c r="Q8" i="23"/>
  <c r="AAX2" i="34" s="1"/>
  <c r="P8" i="23"/>
  <c r="O8" i="23"/>
  <c r="N8" i="23"/>
  <c r="M8" i="23"/>
  <c r="L8" i="23"/>
  <c r="K8" i="23"/>
  <c r="J8" i="23"/>
  <c r="I8" i="23"/>
  <c r="XW2" i="34" s="1"/>
  <c r="H8" i="23"/>
  <c r="G8" i="23"/>
  <c r="F8" i="23"/>
  <c r="E8" i="23"/>
  <c r="D8" i="23"/>
  <c r="XM2" i="34" s="1"/>
  <c r="C8" i="23"/>
  <c r="B8" i="23"/>
  <c r="AF13" i="22"/>
  <c r="QC2" i="34" s="1"/>
  <c r="AE13" i="22"/>
  <c r="QA2" i="34" s="1"/>
  <c r="AD13" i="22"/>
  <c r="PY2" i="34" s="1"/>
  <c r="AC13" i="22"/>
  <c r="PW2" i="34" s="1"/>
  <c r="AB13" i="22"/>
  <c r="PU2" i="34" s="1"/>
  <c r="AA13" i="22"/>
  <c r="PS2" i="34" s="1"/>
  <c r="Z13" i="22"/>
  <c r="PQ2" i="34" s="1"/>
  <c r="Y13" i="22"/>
  <c r="PO2" i="34" s="1"/>
  <c r="X13" i="22"/>
  <c r="PM2" i="34" s="1"/>
  <c r="W13" i="22"/>
  <c r="PK2" i="34" s="1"/>
  <c r="V13" i="22"/>
  <c r="PI2" i="34" s="1"/>
  <c r="U13" i="22"/>
  <c r="PG2" i="34" s="1"/>
  <c r="T13" i="22"/>
  <c r="PE2" i="34" s="1"/>
  <c r="S13" i="22"/>
  <c r="PC2" i="34" s="1"/>
  <c r="R13" i="22"/>
  <c r="PA2" i="34" s="1"/>
  <c r="Q13" i="22"/>
  <c r="OY2" i="34" s="1"/>
  <c r="P13" i="22"/>
  <c r="OW2" i="34" s="1"/>
  <c r="O13" i="22"/>
  <c r="OU2" i="34" s="1"/>
  <c r="N13" i="22"/>
  <c r="OS2" i="34" s="1"/>
  <c r="M13" i="22"/>
  <c r="OQ2" i="34" s="1"/>
  <c r="L13" i="22"/>
  <c r="OO2" i="34" s="1"/>
  <c r="K13" i="22"/>
  <c r="OM2" i="34" s="1"/>
  <c r="J13" i="22"/>
  <c r="OK2" i="34" s="1"/>
  <c r="I13" i="22"/>
  <c r="OI2" i="34" s="1"/>
  <c r="H13" i="22"/>
  <c r="OG2" i="34" s="1"/>
  <c r="G13" i="22"/>
  <c r="OE2" i="34" s="1"/>
  <c r="F13" i="22"/>
  <c r="OC2" i="34" s="1"/>
  <c r="E13" i="22"/>
  <c r="D13" i="22"/>
  <c r="NY2" i="34" s="1"/>
  <c r="C13" i="22"/>
  <c r="NW2" i="34" s="1"/>
  <c r="B13" i="22"/>
  <c r="NU2" i="34" s="1"/>
  <c r="AF8" i="22"/>
  <c r="NS2" i="34" s="1"/>
  <c r="AE8" i="22"/>
  <c r="NQ2" i="34" s="1"/>
  <c r="AD8" i="22"/>
  <c r="NO2" i="34" s="1"/>
  <c r="AC8" i="22"/>
  <c r="NM2" i="34" s="1"/>
  <c r="AB8" i="22"/>
  <c r="NK2" i="34" s="1"/>
  <c r="AA8" i="22"/>
  <c r="NI2" i="34" s="1"/>
  <c r="Z8" i="22"/>
  <c r="NG2" i="34" s="1"/>
  <c r="Y8" i="22"/>
  <c r="NE2" i="34" s="1"/>
  <c r="X8" i="22"/>
  <c r="NC2" i="34" s="1"/>
  <c r="W8" i="22"/>
  <c r="NA2" i="34" s="1"/>
  <c r="V8" i="22"/>
  <c r="MY2" i="34" s="1"/>
  <c r="U8" i="22"/>
  <c r="MW2" i="34" s="1"/>
  <c r="T8" i="22"/>
  <c r="MU2" i="34" s="1"/>
  <c r="S8" i="22"/>
  <c r="MS2" i="34" s="1"/>
  <c r="R8" i="22"/>
  <c r="MQ2" i="34" s="1"/>
  <c r="Q8" i="22"/>
  <c r="MO2" i="34" s="1"/>
  <c r="P8" i="22"/>
  <c r="MM2" i="34" s="1"/>
  <c r="O8" i="22"/>
  <c r="N8" i="22"/>
  <c r="MI2" i="34" s="1"/>
  <c r="M8" i="22"/>
  <c r="MG2" i="34" s="1"/>
  <c r="L8" i="22"/>
  <c r="ME2" i="34" s="1"/>
  <c r="K8" i="22"/>
  <c r="MC2" i="34" s="1"/>
  <c r="J8" i="22"/>
  <c r="MA2" i="34" s="1"/>
  <c r="I8" i="22"/>
  <c r="LY2" i="34" s="1"/>
  <c r="H8" i="22"/>
  <c r="LW2" i="34" s="1"/>
  <c r="G8" i="22"/>
  <c r="LU2" i="34" s="1"/>
  <c r="F8" i="22"/>
  <c r="LS2" i="34" s="1"/>
  <c r="E8" i="22"/>
  <c r="LQ2" i="34" s="1"/>
  <c r="D8" i="22"/>
  <c r="LO2" i="34" s="1"/>
  <c r="C8" i="22"/>
  <c r="LM2" i="34" s="1"/>
  <c r="B8" i="22"/>
  <c r="LK2" i="34" s="1"/>
  <c r="AF13" i="20"/>
  <c r="EE2" i="34" s="1"/>
  <c r="AE13" i="20"/>
  <c r="EC2" i="34" s="1"/>
  <c r="AD13" i="20"/>
  <c r="EA2" i="34" s="1"/>
  <c r="AC13" i="20"/>
  <c r="DY2" i="34" s="1"/>
  <c r="AB13" i="20"/>
  <c r="DW2" i="34" s="1"/>
  <c r="AA13" i="20"/>
  <c r="DU2" i="34" s="1"/>
  <c r="Z13" i="20"/>
  <c r="DS2" i="34" s="1"/>
  <c r="Y13" i="20"/>
  <c r="DQ2" i="34" s="1"/>
  <c r="X13" i="20"/>
  <c r="DO2" i="34" s="1"/>
  <c r="W13" i="20"/>
  <c r="DM2" i="34" s="1"/>
  <c r="V13" i="20"/>
  <c r="DK2" i="34" s="1"/>
  <c r="U13" i="20"/>
  <c r="DI2" i="34" s="1"/>
  <c r="T13" i="20"/>
  <c r="DG2" i="34" s="1"/>
  <c r="S13" i="20"/>
  <c r="DE2" i="34" s="1"/>
  <c r="R13" i="20"/>
  <c r="DC2" i="34" s="1"/>
  <c r="Q13" i="20"/>
  <c r="DA2" i="34" s="1"/>
  <c r="P13" i="20"/>
  <c r="CY2" i="34" s="1"/>
  <c r="O13" i="20"/>
  <c r="CW2" i="34" s="1"/>
  <c r="N13" i="20"/>
  <c r="CU2" i="34" s="1"/>
  <c r="M13" i="20"/>
  <c r="CS2" i="34" s="1"/>
  <c r="L13" i="20"/>
  <c r="CQ2" i="34" s="1"/>
  <c r="K13" i="20"/>
  <c r="CO2" i="34" s="1"/>
  <c r="J13" i="20"/>
  <c r="CM2" i="34" s="1"/>
  <c r="I13" i="20"/>
  <c r="CK2" i="34" s="1"/>
  <c r="H13" i="20"/>
  <c r="CI2" i="34" s="1"/>
  <c r="G13" i="20"/>
  <c r="CG2" i="34" s="1"/>
  <c r="F13" i="20"/>
  <c r="CE2" i="34" s="1"/>
  <c r="E13" i="20"/>
  <c r="CC2" i="34" s="1"/>
  <c r="D13" i="20"/>
  <c r="CA2" i="34" s="1"/>
  <c r="C13" i="20"/>
  <c r="BY2" i="34" s="1"/>
  <c r="B13" i="20"/>
  <c r="BW2" i="34" s="1"/>
  <c r="AF8" i="20"/>
  <c r="BU2" i="34" s="1"/>
  <c r="AE8" i="20"/>
  <c r="BS2" i="34" s="1"/>
  <c r="AD8" i="20"/>
  <c r="BQ2" i="34" s="1"/>
  <c r="AC8" i="20"/>
  <c r="BO2" i="34" s="1"/>
  <c r="AB8" i="20"/>
  <c r="BM2" i="34" s="1"/>
  <c r="AA8" i="20"/>
  <c r="BK2" i="34" s="1"/>
  <c r="Z8" i="20"/>
  <c r="BI2" i="34" s="1"/>
  <c r="Y8" i="20"/>
  <c r="BG2" i="34" s="1"/>
  <c r="X8" i="20"/>
  <c r="BE2" i="34" s="1"/>
  <c r="W8" i="20"/>
  <c r="BC2" i="34" s="1"/>
  <c r="V8" i="20"/>
  <c r="BA2" i="34" s="1"/>
  <c r="U8" i="20"/>
  <c r="AY2" i="34" s="1"/>
  <c r="T8" i="20"/>
  <c r="AW2" i="34" s="1"/>
  <c r="S8" i="20"/>
  <c r="AU2" i="34" s="1"/>
  <c r="R8" i="20"/>
  <c r="AS2" i="34" s="1"/>
  <c r="Q8" i="20"/>
  <c r="AQ2" i="34" s="1"/>
  <c r="P8" i="20"/>
  <c r="AO2" i="34" s="1"/>
  <c r="O8" i="20"/>
  <c r="AM2" i="34" s="1"/>
  <c r="N8" i="20"/>
  <c r="AK2" i="34" s="1"/>
  <c r="M8" i="20"/>
  <c r="AI2" i="34" s="1"/>
  <c r="L8" i="20"/>
  <c r="AG2" i="34" s="1"/>
  <c r="K8" i="20"/>
  <c r="AE2" i="34" s="1"/>
  <c r="J8" i="20"/>
  <c r="AC2" i="34" s="1"/>
  <c r="I8" i="20"/>
  <c r="AA2" i="34" s="1"/>
  <c r="H8" i="20"/>
  <c r="Y2" i="34" s="1"/>
  <c r="G8" i="20"/>
  <c r="W2" i="34" s="1"/>
  <c r="F8" i="20"/>
  <c r="U2" i="34" s="1"/>
  <c r="E8" i="20"/>
  <c r="S2" i="34" s="1"/>
  <c r="D8" i="20"/>
  <c r="Q2" i="34" s="1"/>
  <c r="C8" i="20"/>
  <c r="O2" i="34" s="1"/>
  <c r="B8" i="20"/>
  <c r="M2" i="34" s="1"/>
  <c r="S46" i="25"/>
  <c r="K2" i="34" s="1"/>
  <c r="R46" i="25"/>
  <c r="I2" i="34" s="1"/>
  <c r="S45" i="25"/>
  <c r="G2" i="34" s="1"/>
  <c r="R45" i="25"/>
  <c r="E2" i="34" s="1"/>
  <c r="S47" i="25"/>
  <c r="C2" i="34" s="1"/>
  <c r="R47" i="25"/>
  <c r="A2" i="34" s="1"/>
  <c r="B2" i="34"/>
  <c r="J2" i="34"/>
  <c r="R2" i="34"/>
  <c r="Z2" i="34"/>
  <c r="AH2" i="34"/>
  <c r="AP2" i="34"/>
  <c r="AX2" i="34"/>
  <c r="BF2" i="34"/>
  <c r="BN2" i="34"/>
  <c r="BV2" i="34"/>
  <c r="CD2" i="34"/>
  <c r="CL2" i="34"/>
  <c r="CT2" i="34"/>
  <c r="DB2" i="34"/>
  <c r="DJ2" i="34"/>
  <c r="DR2" i="34"/>
  <c r="DZ2" i="34"/>
  <c r="F2" i="34"/>
  <c r="N2" i="34"/>
  <c r="V2" i="34"/>
  <c r="AD2" i="34"/>
  <c r="AL2" i="34"/>
  <c r="AT2" i="34"/>
  <c r="BB2" i="34"/>
  <c r="BJ2" i="34"/>
  <c r="BR2" i="34"/>
  <c r="BZ2" i="34"/>
  <c r="CH2" i="34"/>
  <c r="CP2" i="34"/>
  <c r="CX2" i="34"/>
  <c r="DF2" i="34"/>
  <c r="DN2" i="34"/>
  <c r="DV2" i="34"/>
  <c r="ED2" i="34"/>
  <c r="D2" i="34"/>
  <c r="T2" i="34"/>
  <c r="AJ2" i="34"/>
  <c r="AZ2" i="34"/>
  <c r="BP2" i="34"/>
  <c r="CF2" i="34"/>
  <c r="CV2" i="34"/>
  <c r="DL2" i="34"/>
  <c r="EB2" i="34"/>
  <c r="LP2" i="34"/>
  <c r="MB2" i="34"/>
  <c r="ML2" i="34"/>
  <c r="MV2" i="34"/>
  <c r="NH2" i="34"/>
  <c r="NR2" i="34"/>
  <c r="OB2" i="34"/>
  <c r="ON2" i="34"/>
  <c r="OX2" i="34"/>
  <c r="PH2" i="34"/>
  <c r="PT2" i="34"/>
  <c r="QD2" i="34"/>
  <c r="LR2" i="34"/>
  <c r="MX2" i="34"/>
  <c r="OD2" i="34"/>
  <c r="PJ2" i="34"/>
  <c r="XZ2" i="34"/>
  <c r="LT2" i="34"/>
  <c r="MD2" i="34"/>
  <c r="MN2" i="34"/>
  <c r="MZ2" i="34"/>
  <c r="NJ2" i="34"/>
  <c r="NT2" i="34"/>
  <c r="OF2" i="34"/>
  <c r="OP2" i="34"/>
  <c r="OZ2" i="34"/>
  <c r="PL2" i="34"/>
  <c r="PV2" i="34"/>
  <c r="MH2" i="34"/>
  <c r="NN2" i="34"/>
  <c r="OT2" i="34"/>
  <c r="PZ2" i="34"/>
  <c r="XJ2" i="34"/>
  <c r="YP2" i="34"/>
  <c r="H2" i="34"/>
  <c r="AN2" i="34"/>
  <c r="BT2" i="34"/>
  <c r="CZ2" i="34"/>
  <c r="EF2" i="34"/>
  <c r="MP2" i="34"/>
  <c r="PB2" i="34"/>
  <c r="XN2" i="34"/>
  <c r="YR2" i="34"/>
  <c r="ZD2" i="34"/>
  <c r="AJJ2" i="34"/>
  <c r="AJR2" i="34"/>
  <c r="AJZ2" i="34"/>
  <c r="AKH2" i="34"/>
  <c r="AKP2" i="34"/>
  <c r="AKX2" i="34"/>
  <c r="ALF2" i="34"/>
  <c r="ALN2" i="34"/>
  <c r="L2" i="34"/>
  <c r="AR2" i="34"/>
  <c r="BX2" i="34"/>
  <c r="DD2" i="34"/>
  <c r="LV2" i="34"/>
  <c r="MR2" i="34"/>
  <c r="NL2" i="34"/>
  <c r="OH2" i="34"/>
  <c r="PD2" i="34"/>
  <c r="PX2" i="34"/>
  <c r="XP2" i="34"/>
  <c r="YD2" i="34"/>
  <c r="ZF2" i="34"/>
  <c r="ZP2" i="34"/>
  <c r="LX2" i="34"/>
  <c r="MT2" i="34"/>
  <c r="NP2" i="34"/>
  <c r="OJ2" i="34"/>
  <c r="PF2" i="34"/>
  <c r="QB2" i="34"/>
  <c r="XR2" i="34"/>
  <c r="YF2" i="34"/>
  <c r="YT2" i="34"/>
  <c r="ZR2" i="34"/>
  <c r="AJL2" i="34"/>
  <c r="AJT2" i="34"/>
  <c r="AKB2" i="34"/>
  <c r="AKJ2" i="34"/>
  <c r="AKR2" i="34"/>
  <c r="AKZ2" i="34"/>
  <c r="ALH2" i="34"/>
  <c r="ALP2" i="34"/>
  <c r="AB2" i="34"/>
  <c r="BH2" i="34"/>
  <c r="CN2" i="34"/>
  <c r="DT2" i="34"/>
  <c r="LL2" i="34"/>
  <c r="MF2" i="34"/>
  <c r="NB2" i="34"/>
  <c r="NX2" i="34"/>
  <c r="OR2" i="34"/>
  <c r="PN2" i="34"/>
  <c r="YL2" i="34"/>
  <c r="YZ2" i="34"/>
  <c r="P2" i="34"/>
  <c r="CB2" i="34"/>
  <c r="OL2" i="34"/>
  <c r="XT2" i="34"/>
  <c r="YV2" i="34"/>
  <c r="ASV2" i="34"/>
  <c r="ATF2" i="34"/>
  <c r="X2" i="34"/>
  <c r="CJ2" i="34"/>
  <c r="XV2" i="34"/>
  <c r="YX2" i="34"/>
  <c r="AJV2" i="34"/>
  <c r="AKL2" i="34"/>
  <c r="ALB2" i="34"/>
  <c r="ATH2" i="34"/>
  <c r="ATR2" i="34"/>
  <c r="AUB2" i="34"/>
  <c r="AUJ2" i="34"/>
  <c r="AUR2" i="34"/>
  <c r="AUZ2" i="34"/>
  <c r="LN2" i="34"/>
  <c r="ND2" i="34"/>
  <c r="OV2" i="34"/>
  <c r="XX2" i="34"/>
  <c r="ZB2" i="34"/>
  <c r="AJH2" i="34"/>
  <c r="AJX2" i="34"/>
  <c r="AKN2" i="34"/>
  <c r="ALD2" i="34"/>
  <c r="ASX2" i="34"/>
  <c r="ATT2" i="34"/>
  <c r="BD2" i="34"/>
  <c r="DP2" i="34"/>
  <c r="NV2" i="34"/>
  <c r="YJ2" i="34"/>
  <c r="ZJ2" i="34"/>
  <c r="AJN2" i="34"/>
  <c r="AKD2" i="34"/>
  <c r="AKT2" i="34"/>
  <c r="ALJ2" i="34"/>
  <c r="ATB2" i="34"/>
  <c r="ATX2" i="34"/>
  <c r="AUF2" i="34"/>
  <c r="AUN2" i="34"/>
  <c r="AUV2" i="34"/>
  <c r="AVD2" i="34"/>
  <c r="AF2" i="34"/>
  <c r="NF2" i="34"/>
  <c r="ASZ2" i="34"/>
  <c r="AUL2" i="34"/>
  <c r="AVB2" i="34"/>
  <c r="BCT2" i="34"/>
  <c r="BDD2" i="34"/>
  <c r="BDN2" i="34"/>
  <c r="BDZ2" i="34"/>
  <c r="BEJ2" i="34"/>
  <c r="BOH2" i="34"/>
  <c r="BOP2" i="34"/>
  <c r="BOX2" i="34"/>
  <c r="BPF2" i="34"/>
  <c r="BPN2" i="34"/>
  <c r="BPV2" i="34"/>
  <c r="BQD2" i="34"/>
  <c r="BQL2" i="34"/>
  <c r="BQT2" i="34"/>
  <c r="BRB2" i="34"/>
  <c r="BRJ2" i="34"/>
  <c r="BRR2" i="34"/>
  <c r="BRZ2" i="34"/>
  <c r="BSH2" i="34"/>
  <c r="BSP2" i="34"/>
  <c r="BSX2" i="34"/>
  <c r="AV2" i="34"/>
  <c r="ZH2" i="34"/>
  <c r="ATV2" i="34"/>
  <c r="BCJ2" i="34"/>
  <c r="BDP2" i="34"/>
  <c r="NZ2" i="34"/>
  <c r="XL2" i="34"/>
  <c r="ZL2" i="34"/>
  <c r="AKF2" i="34"/>
  <c r="ALL2" i="34"/>
  <c r="ATD2" i="34"/>
  <c r="BCL2" i="34"/>
  <c r="BCV2" i="34"/>
  <c r="BDF2" i="34"/>
  <c r="BDR2" i="34"/>
  <c r="BEB2" i="34"/>
  <c r="BEL2" i="34"/>
  <c r="BOJ2" i="34"/>
  <c r="BOR2" i="34"/>
  <c r="BOZ2" i="34"/>
  <c r="BPH2" i="34"/>
  <c r="BPP2" i="34"/>
  <c r="BPX2" i="34"/>
  <c r="BQF2" i="34"/>
  <c r="BQN2" i="34"/>
  <c r="BQV2" i="34"/>
  <c r="BRD2" i="34"/>
  <c r="BRL2" i="34"/>
  <c r="BRT2" i="34"/>
  <c r="BSB2" i="34"/>
  <c r="BSJ2" i="34"/>
  <c r="BSR2" i="34"/>
  <c r="BSZ2" i="34"/>
  <c r="DH2" i="34"/>
  <c r="LZ2" i="34"/>
  <c r="YH2" i="34"/>
  <c r="ATL2" i="34"/>
  <c r="BCZ2" i="34"/>
  <c r="BEF2" i="34"/>
  <c r="BL2" i="34"/>
  <c r="AUP2" i="34"/>
  <c r="BDH2" i="34"/>
  <c r="YN2" i="34"/>
  <c r="AUX2" i="34"/>
  <c r="CR2" i="34"/>
  <c r="YB2" i="34"/>
  <c r="ATJ2" i="34"/>
  <c r="AUT2" i="34"/>
  <c r="BCN2" i="34"/>
  <c r="BDJ2" i="34"/>
  <c r="BED2" i="34"/>
  <c r="BOL2" i="34"/>
  <c r="BPB2" i="34"/>
  <c r="BPR2" i="34"/>
  <c r="BQH2" i="34"/>
  <c r="BQX2" i="34"/>
  <c r="BRN2" i="34"/>
  <c r="BSD2" i="34"/>
  <c r="BST2" i="34"/>
  <c r="DX2" i="34"/>
  <c r="BCR2" i="34"/>
  <c r="ZN2" i="34"/>
  <c r="ATZ2" i="34"/>
  <c r="MJ2" i="34"/>
  <c r="AKV2" i="34"/>
  <c r="ATN2" i="34"/>
  <c r="BCP2" i="34"/>
  <c r="BDL2" i="34"/>
  <c r="BEH2" i="34"/>
  <c r="BON2" i="34"/>
  <c r="BPD2" i="34"/>
  <c r="BPT2" i="34"/>
  <c r="BQJ2" i="34"/>
  <c r="BQZ2" i="34"/>
  <c r="BRP2" i="34"/>
  <c r="BSF2" i="34"/>
  <c r="BSV2" i="34"/>
  <c r="ATP2" i="34"/>
  <c r="AUD2" i="34"/>
  <c r="BCX2" i="34"/>
  <c r="BDT2" i="34"/>
  <c r="BEP2" i="34"/>
  <c r="BOT2" i="34"/>
  <c r="BPJ2" i="34"/>
  <c r="BPZ2" i="34"/>
  <c r="BQP2" i="34"/>
  <c r="BRF2" i="34"/>
  <c r="BRV2" i="34"/>
  <c r="BSL2" i="34"/>
  <c r="PP2" i="34"/>
  <c r="AJP2" i="34"/>
  <c r="BDB2" i="34"/>
  <c r="BDV2" i="34"/>
  <c r="BER2" i="34"/>
  <c r="BOV2" i="34"/>
  <c r="BPL2" i="34"/>
  <c r="BQB2" i="34"/>
  <c r="BQR2" i="34"/>
  <c r="BRH2" i="34"/>
  <c r="BRX2" i="34"/>
  <c r="BSN2" i="34"/>
  <c r="BDX2" i="34"/>
  <c r="AUH2" i="34"/>
  <c r="PR2" i="34"/>
  <c r="BEN2" i="34"/>
  <c r="X16" i="29" l="1"/>
  <c r="BXC2" i="34"/>
  <c r="BZN2" i="34"/>
  <c r="AEX2" i="34"/>
  <c r="ACM2" i="34"/>
  <c r="G16" i="23"/>
  <c r="YE2" i="34"/>
  <c r="AAP2" i="34"/>
  <c r="M11" i="23"/>
  <c r="ZK2" i="34"/>
  <c r="ABV2" i="34"/>
  <c r="AC11" i="23"/>
  <c r="BDM2" i="34"/>
  <c r="BFX2" i="34"/>
  <c r="Q12" i="30"/>
  <c r="P15" i="29"/>
  <c r="BWN2" i="34"/>
  <c r="BUC2" i="34"/>
  <c r="H16" i="29"/>
  <c r="BVW2" i="34"/>
  <c r="BYH2" i="34"/>
  <c r="XQ2" i="34"/>
  <c r="AAB2" i="34"/>
  <c r="YG2" i="34"/>
  <c r="AAR2" i="34"/>
  <c r="YW2" i="34"/>
  <c r="ABH2" i="34"/>
  <c r="ZM2" i="34"/>
  <c r="ABX2" i="34"/>
  <c r="AAG2" i="34"/>
  <c r="ACR2" i="34"/>
  <c r="I15" i="23"/>
  <c r="AD11" i="23"/>
  <c r="BEY2" i="34"/>
  <c r="BHJ2" i="34"/>
  <c r="E16" i="30"/>
  <c r="BIZ2" i="34"/>
  <c r="BGO2" i="34"/>
  <c r="Z16" i="30"/>
  <c r="BRA2" i="34"/>
  <c r="BTL2" i="34"/>
  <c r="G11" i="29"/>
  <c r="BRQ2" i="34"/>
  <c r="BUB2" i="34"/>
  <c r="O11" i="29"/>
  <c r="W11" i="29"/>
  <c r="BUR2" i="34"/>
  <c r="BSG2" i="34"/>
  <c r="BSW2" i="34"/>
  <c r="BVH2" i="34"/>
  <c r="AE11" i="29"/>
  <c r="BWE2" i="34"/>
  <c r="BYP2" i="34"/>
  <c r="L16" i="29"/>
  <c r="ABY2" i="34"/>
  <c r="AEJ2" i="34"/>
  <c r="ADY2" i="34"/>
  <c r="AGJ2" i="34"/>
  <c r="Z16" i="23"/>
  <c r="BCK2" i="34"/>
  <c r="BEV2" i="34"/>
  <c r="C12" i="30"/>
  <c r="BDA2" i="34"/>
  <c r="BFL2" i="34"/>
  <c r="K12" i="30"/>
  <c r="BDQ2" i="34"/>
  <c r="BGB2" i="34"/>
  <c r="S12" i="30"/>
  <c r="BEG2" i="34"/>
  <c r="BGR2" i="34"/>
  <c r="AA12" i="30"/>
  <c r="BLR2" i="34"/>
  <c r="AD17" i="30"/>
  <c r="BFH2" i="34"/>
  <c r="I12" i="30"/>
  <c r="XU2" i="34"/>
  <c r="AAF2" i="34"/>
  <c r="H11" i="23"/>
  <c r="ZQ2" i="34"/>
  <c r="ACB2" i="34"/>
  <c r="AF11" i="23"/>
  <c r="ACC2" i="34"/>
  <c r="AEN2" i="34"/>
  <c r="B16" i="23"/>
  <c r="AFE2" i="34"/>
  <c r="BFM2" i="34"/>
  <c r="BHX2" i="34"/>
  <c r="L16" i="30"/>
  <c r="BTC2" i="34"/>
  <c r="C15" i="29"/>
  <c r="BVN2" i="34"/>
  <c r="BQQ2" i="34"/>
  <c r="BTB2" i="34"/>
  <c r="B11" i="29"/>
  <c r="BSM2" i="34"/>
  <c r="BUX2" i="34"/>
  <c r="Z11" i="29"/>
  <c r="N11" i="23"/>
  <c r="ABM2" i="34"/>
  <c r="ADX2" i="34"/>
  <c r="Y15" i="23"/>
  <c r="ADI2" i="34"/>
  <c r="AFT2" i="34"/>
  <c r="R16" i="23"/>
  <c r="AE15" i="23"/>
  <c r="YU2" i="34"/>
  <c r="ABF2" i="34"/>
  <c r="U11" i="23"/>
  <c r="ACS2" i="34"/>
  <c r="AFD2" i="34"/>
  <c r="J16" i="23"/>
  <c r="ZA2" i="34"/>
  <c r="ABL2" i="34"/>
  <c r="X11" i="23"/>
  <c r="ADR2" i="34"/>
  <c r="ABG2" i="34"/>
  <c r="V15" i="23"/>
  <c r="BHZ2" i="34"/>
  <c r="M16" i="30"/>
  <c r="BRG2" i="34"/>
  <c r="J11" i="29"/>
  <c r="BTR2" i="34"/>
  <c r="BXK2" i="34"/>
  <c r="BZV2" i="34"/>
  <c r="AB16" i="29"/>
  <c r="AAS2" i="34"/>
  <c r="ADD2" i="34"/>
  <c r="BFY2" i="34"/>
  <c r="R16" i="30"/>
  <c r="J17" i="30"/>
  <c r="BKD2" i="34"/>
  <c r="BHS2" i="34"/>
  <c r="BTS2" i="34"/>
  <c r="BWD2" i="34"/>
  <c r="K15" i="29"/>
  <c r="BCW2" i="34"/>
  <c r="XO2" i="34"/>
  <c r="ZZ2" i="34"/>
  <c r="E11" i="23"/>
  <c r="AAC2" i="34"/>
  <c r="ACN2" i="34"/>
  <c r="AGD2" i="34"/>
  <c r="ADS2" i="34"/>
  <c r="W16" i="23"/>
  <c r="B17" i="30"/>
  <c r="BJN2" i="34"/>
  <c r="BHC2" i="34"/>
  <c r="YK2" i="34"/>
  <c r="AAV2" i="34"/>
  <c r="P11" i="23"/>
  <c r="ADC2" i="34"/>
  <c r="AFN2" i="34"/>
  <c r="O16" i="23"/>
  <c r="AGK2" i="34"/>
  <c r="BLP2" i="34"/>
  <c r="BJE2" i="34"/>
  <c r="AC17" i="30"/>
  <c r="BUS2" i="34"/>
  <c r="BXD2" i="34"/>
  <c r="ABI2" i="34"/>
  <c r="ADT2" i="34"/>
  <c r="BRW2" i="34"/>
  <c r="R11" i="29"/>
  <c r="BUH2" i="34"/>
  <c r="F11" i="23"/>
  <c r="AAW2" i="34"/>
  <c r="ADH2" i="34"/>
  <c r="Q15" i="23"/>
  <c r="AEO2" i="34"/>
  <c r="AFU2" i="34"/>
  <c r="BFF2" i="34"/>
  <c r="H12" i="30"/>
  <c r="BCU2" i="34"/>
  <c r="P12" i="30"/>
  <c r="BDK2" i="34"/>
  <c r="BFV2" i="34"/>
  <c r="BGL2" i="34"/>
  <c r="X12" i="30"/>
  <c r="BEA2" i="34"/>
  <c r="AF12" i="30"/>
  <c r="BEQ2" i="34"/>
  <c r="BHB2" i="34"/>
  <c r="BIA2" i="34"/>
  <c r="BKL2" i="34"/>
  <c r="N17" i="30"/>
  <c r="BGS2" i="34"/>
  <c r="AB16" i="30"/>
  <c r="BFN2" i="34"/>
  <c r="AAH2" i="34"/>
  <c r="XS2" i="34"/>
  <c r="AAD2" i="34"/>
  <c r="YI2" i="34"/>
  <c r="AAT2" i="34"/>
  <c r="YY2" i="34"/>
  <c r="ABJ2" i="34"/>
  <c r="D12" i="30"/>
  <c r="BTP2" i="34"/>
  <c r="I11" i="29"/>
  <c r="BUF2" i="34"/>
  <c r="Q11" i="29"/>
  <c r="BUV2" i="34"/>
  <c r="Y11" i="29"/>
  <c r="AA15" i="29"/>
  <c r="BXZ2" i="34"/>
  <c r="BXJ2" i="34"/>
  <c r="BWT2" i="34"/>
  <c r="BLB2" i="34"/>
  <c r="BJV2" i="34"/>
  <c r="BJD2" i="34"/>
  <c r="ZX2" i="34"/>
  <c r="BEI2" i="34"/>
  <c r="XI2" i="34"/>
  <c r="ZT2" i="34"/>
  <c r="XY2" i="34"/>
  <c r="AAJ2" i="34"/>
  <c r="YO2" i="34"/>
  <c r="AAZ2" i="34"/>
  <c r="ZE2" i="34"/>
  <c r="ABP2" i="34"/>
  <c r="ZU2" i="34"/>
  <c r="ACF2" i="34"/>
  <c r="AAK2" i="34"/>
  <c r="ACV2" i="34"/>
  <c r="ABA2" i="34"/>
  <c r="ADL2" i="34"/>
  <c r="ABQ2" i="34"/>
  <c r="AEB2" i="34"/>
  <c r="ACG2" i="34"/>
  <c r="AER2" i="34"/>
  <c r="ACW2" i="34"/>
  <c r="AFH2" i="34"/>
  <c r="ADM2" i="34"/>
  <c r="AFX2" i="34"/>
  <c r="AEC2" i="34"/>
  <c r="AGN2" i="34"/>
  <c r="YM2" i="34"/>
  <c r="ABN2" i="34"/>
  <c r="ZC2" i="34"/>
  <c r="ACD2" i="34"/>
  <c r="ZS2" i="34"/>
  <c r="ADJ2" i="34"/>
  <c r="AAY2" i="34"/>
  <c r="AFV2" i="34"/>
  <c r="ADK2" i="34"/>
  <c r="XK2" i="34"/>
  <c r="ZV2" i="34"/>
  <c r="YA2" i="34"/>
  <c r="AAL2" i="34"/>
  <c r="YQ2" i="34"/>
  <c r="ABB2" i="34"/>
  <c r="ABR2" i="34"/>
  <c r="ZG2" i="34"/>
  <c r="ACH2" i="34"/>
  <c r="ZW2" i="34"/>
  <c r="ACX2" i="34"/>
  <c r="AAM2" i="34"/>
  <c r="ADN2" i="34"/>
  <c r="ABC2" i="34"/>
  <c r="AED2" i="34"/>
  <c r="ABS2" i="34"/>
  <c r="U16" i="30"/>
  <c r="BVR2" i="34"/>
  <c r="BTG2" i="34"/>
  <c r="E15" i="29"/>
  <c r="BWH2" i="34"/>
  <c r="BTW2" i="34"/>
  <c r="M15" i="29"/>
  <c r="BWX2" i="34"/>
  <c r="BUM2" i="34"/>
  <c r="U15" i="29"/>
  <c r="BXN2" i="34"/>
  <c r="BVC2" i="34"/>
  <c r="AC15" i="29"/>
  <c r="S15" i="29"/>
  <c r="ABO2" i="34"/>
  <c r="AEP2" i="34"/>
  <c r="ACE2" i="34"/>
  <c r="AGL2" i="34"/>
  <c r="AEA2" i="34"/>
  <c r="AEQ2" i="34"/>
  <c r="T12" i="30"/>
  <c r="AF16" i="29"/>
  <c r="BXS2" i="34"/>
  <c r="AFG2" i="34"/>
  <c r="YC2" i="34"/>
  <c r="AAN2" i="34"/>
  <c r="ZI2" i="34"/>
  <c r="ABT2" i="34"/>
  <c r="Y12" i="30"/>
  <c r="F11" i="29"/>
  <c r="BQY2" i="34"/>
  <c r="N11" i="29"/>
  <c r="BRO2" i="34"/>
  <c r="V11" i="29"/>
  <c r="BSE2" i="34"/>
  <c r="AD11" i="29"/>
  <c r="BSU2" i="34"/>
  <c r="BEC2" i="34"/>
  <c r="BCM2" i="34"/>
  <c r="ABD2" i="34"/>
  <c r="BGG2" i="34"/>
  <c r="BVD2" i="34"/>
  <c r="BUN2" i="34"/>
  <c r="BTX2" i="34"/>
  <c r="BTH2" i="34"/>
  <c r="BGX2" i="34"/>
  <c r="BFR2" i="34"/>
  <c r="G12" i="30"/>
  <c r="O12" i="30"/>
  <c r="W12" i="30"/>
  <c r="AE12" i="30"/>
  <c r="BSY2" i="34"/>
  <c r="BSQ2" i="34"/>
  <c r="BSI2" i="34"/>
  <c r="BSA2" i="34"/>
  <c r="BRS2" i="34"/>
  <c r="BRK2" i="34"/>
  <c r="BRC2" i="34"/>
  <c r="BQU2" i="34"/>
  <c r="BGW2" i="34"/>
  <c r="BEK2" i="34"/>
  <c r="BDE2" i="34"/>
  <c r="BFZ2" i="34"/>
  <c r="BET2" i="34"/>
  <c r="G8" i="31"/>
  <c r="G10" i="31"/>
  <c r="G21" i="31"/>
  <c r="F8" i="31"/>
  <c r="F10" i="31"/>
  <c r="F21" i="31"/>
  <c r="F35" i="31"/>
  <c r="E8" i="31"/>
  <c r="E10" i="31"/>
  <c r="E35" i="31"/>
  <c r="E21" i="31"/>
  <c r="D8" i="31"/>
  <c r="D10" i="31"/>
  <c r="D21" i="31"/>
  <c r="D35" i="31"/>
  <c r="C8" i="31"/>
  <c r="C10" i="31"/>
  <c r="C35" i="31"/>
  <c r="C21" i="31"/>
  <c r="B8" i="31"/>
  <c r="B10" i="31"/>
  <c r="B35" i="31"/>
  <c r="B21" i="31"/>
  <c r="G30" i="31"/>
  <c r="G32" i="31"/>
  <c r="F30" i="31"/>
  <c r="F32" i="31"/>
  <c r="E30" i="31"/>
  <c r="E32" i="31"/>
  <c r="D30" i="31"/>
  <c r="C30" i="31"/>
  <c r="C32" i="31"/>
  <c r="B30" i="31"/>
  <c r="B32" i="31"/>
  <c r="Q7" i="23"/>
  <c r="R7" i="23"/>
  <c r="S7" i="23"/>
  <c r="T7" i="23"/>
  <c r="U7" i="23"/>
  <c r="V7" i="23"/>
  <c r="W7" i="23"/>
  <c r="X7" i="23"/>
  <c r="Y7" i="23"/>
  <c r="Z7" i="23"/>
  <c r="AA7" i="23"/>
  <c r="AB7" i="23"/>
  <c r="AC7" i="23"/>
  <c r="AD7" i="23"/>
  <c r="AE7" i="23"/>
  <c r="AF7" i="23"/>
  <c r="B7" i="20"/>
  <c r="B12" i="20"/>
  <c r="C7" i="20"/>
  <c r="C12" i="20"/>
  <c r="D7" i="20"/>
  <c r="D12" i="20"/>
  <c r="E7" i="20"/>
  <c r="E12" i="20"/>
  <c r="F7" i="20"/>
  <c r="F12" i="20"/>
  <c r="G7" i="20"/>
  <c r="G12" i="20"/>
  <c r="H7" i="20"/>
  <c r="H12" i="20"/>
  <c r="I7" i="20"/>
  <c r="I12" i="20"/>
  <c r="J7" i="20"/>
  <c r="J12" i="20"/>
  <c r="K7" i="20"/>
  <c r="K12" i="20"/>
  <c r="L7" i="20"/>
  <c r="L12" i="20"/>
  <c r="M7" i="20"/>
  <c r="M12" i="20"/>
  <c r="N7" i="20"/>
  <c r="N12" i="20"/>
  <c r="O7" i="20"/>
  <c r="O12" i="20"/>
  <c r="P7" i="20"/>
  <c r="P12" i="20"/>
  <c r="Q7" i="20"/>
  <c r="Q12" i="20"/>
  <c r="R7" i="20"/>
  <c r="R12" i="20"/>
  <c r="S7" i="20"/>
  <c r="S12" i="20"/>
  <c r="T7" i="20"/>
  <c r="T12" i="20"/>
  <c r="U7" i="20"/>
  <c r="U12" i="20"/>
  <c r="V7" i="20"/>
  <c r="V12" i="20"/>
  <c r="W7" i="20"/>
  <c r="W12" i="20"/>
  <c r="X7" i="20"/>
  <c r="X12" i="20"/>
  <c r="Y7" i="20"/>
  <c r="Y12" i="20"/>
  <c r="Z7" i="20"/>
  <c r="Z12" i="20"/>
  <c r="AA7" i="20"/>
  <c r="AA12" i="20"/>
  <c r="AB7" i="20"/>
  <c r="AB12" i="20"/>
  <c r="AC7" i="20"/>
  <c r="AC12" i="20"/>
  <c r="AD7" i="20"/>
  <c r="AD12" i="20"/>
  <c r="AE7" i="20"/>
  <c r="AE12" i="20"/>
  <c r="AF7" i="20"/>
  <c r="AF12" i="20"/>
  <c r="Q7" i="29"/>
  <c r="R7" i="29"/>
  <c r="S7" i="29"/>
  <c r="T7" i="29"/>
  <c r="U7" i="29"/>
  <c r="V7" i="29"/>
  <c r="W7" i="29"/>
  <c r="X7" i="29"/>
  <c r="Y7" i="29"/>
  <c r="Z7" i="29"/>
  <c r="AA7" i="29"/>
  <c r="AB7" i="29"/>
  <c r="AC7" i="29"/>
  <c r="AD7" i="29"/>
  <c r="AE7" i="29"/>
  <c r="U45" i="25"/>
  <c r="AD7" i="30"/>
  <c r="AE7" i="30"/>
  <c r="AF13" i="30"/>
  <c r="AE13" i="30"/>
  <c r="AD13" i="30"/>
  <c r="AC7" i="30"/>
  <c r="AC13" i="30"/>
  <c r="AB7" i="30"/>
  <c r="AB13" i="30"/>
  <c r="AA7" i="30"/>
  <c r="AA13" i="30"/>
  <c r="Z7" i="30"/>
  <c r="Z13" i="30"/>
  <c r="Y7" i="30"/>
  <c r="Y13" i="30"/>
  <c r="X7" i="30"/>
  <c r="X13" i="30"/>
  <c r="W7" i="30"/>
  <c r="W13" i="30"/>
  <c r="V7" i="30"/>
  <c r="V13" i="30"/>
  <c r="U7" i="30"/>
  <c r="U13" i="30"/>
  <c r="T7" i="30"/>
  <c r="T13" i="30"/>
  <c r="S7" i="30"/>
  <c r="S13" i="30"/>
  <c r="R7" i="30"/>
  <c r="R13" i="30"/>
  <c r="Q7" i="30"/>
  <c r="Q13" i="30"/>
  <c r="P7" i="30"/>
  <c r="P13" i="30"/>
  <c r="O7" i="30"/>
  <c r="O13" i="30"/>
  <c r="N7" i="30"/>
  <c r="N13" i="30"/>
  <c r="M7" i="30"/>
  <c r="M13" i="30"/>
  <c r="L7" i="30"/>
  <c r="L13" i="30"/>
  <c r="K7" i="30"/>
  <c r="K13" i="30"/>
  <c r="J7" i="30"/>
  <c r="J13" i="30"/>
  <c r="I7" i="30"/>
  <c r="I13" i="30"/>
  <c r="H7" i="30"/>
  <c r="H13" i="30"/>
  <c r="G7" i="30"/>
  <c r="G13" i="30"/>
  <c r="F7" i="30"/>
  <c r="F13" i="30"/>
  <c r="E7" i="30"/>
  <c r="E13" i="30"/>
  <c r="D7" i="30"/>
  <c r="D13" i="30"/>
  <c r="C7" i="30"/>
  <c r="C13" i="30"/>
  <c r="B7" i="30"/>
  <c r="B13" i="30"/>
  <c r="B7" i="23"/>
  <c r="B7" i="29"/>
  <c r="B12" i="29"/>
  <c r="C7" i="29"/>
  <c r="C12" i="29"/>
  <c r="D7" i="29"/>
  <c r="D12" i="29"/>
  <c r="E7" i="29"/>
  <c r="E12" i="29"/>
  <c r="F7" i="29"/>
  <c r="F12" i="29"/>
  <c r="G7" i="29"/>
  <c r="G12" i="29"/>
  <c r="H7" i="29"/>
  <c r="H12" i="29"/>
  <c r="I7" i="29"/>
  <c r="I12" i="29"/>
  <c r="J7" i="29"/>
  <c r="J12" i="29"/>
  <c r="K7" i="29"/>
  <c r="K12" i="29"/>
  <c r="L7" i="29"/>
  <c r="L12" i="29"/>
  <c r="M7" i="29"/>
  <c r="M12" i="29"/>
  <c r="N7" i="29"/>
  <c r="N12" i="29"/>
  <c r="O7" i="29"/>
  <c r="O12" i="29"/>
  <c r="P7" i="29"/>
  <c r="P12" i="29"/>
  <c r="Q12" i="29"/>
  <c r="R12" i="29"/>
  <c r="S12" i="29"/>
  <c r="T12" i="29"/>
  <c r="U12" i="29"/>
  <c r="V12" i="29"/>
  <c r="W12" i="29"/>
  <c r="X12" i="29"/>
  <c r="Y12" i="29"/>
  <c r="Z12" i="29"/>
  <c r="AA12" i="29"/>
  <c r="AB12" i="29"/>
  <c r="AC12" i="29"/>
  <c r="AD12" i="29"/>
  <c r="AE12" i="29"/>
  <c r="AF12" i="29"/>
  <c r="B12" i="23"/>
  <c r="C7" i="23"/>
  <c r="C12" i="23"/>
  <c r="D7" i="23"/>
  <c r="D12" i="23"/>
  <c r="E7" i="23"/>
  <c r="E12" i="23"/>
  <c r="F7" i="23"/>
  <c r="F12" i="23"/>
  <c r="G7" i="23"/>
  <c r="G12" i="23"/>
  <c r="H7" i="23"/>
  <c r="H12" i="23"/>
  <c r="I7" i="23"/>
  <c r="I12" i="23"/>
  <c r="J7" i="23"/>
  <c r="J12" i="23"/>
  <c r="K7" i="23"/>
  <c r="K12" i="23"/>
  <c r="L7" i="23"/>
  <c r="L12" i="23"/>
  <c r="M7" i="23"/>
  <c r="M12" i="23"/>
  <c r="N7" i="23"/>
  <c r="N12" i="23"/>
  <c r="O7" i="23"/>
  <c r="O12" i="23"/>
  <c r="P7" i="23"/>
  <c r="P12" i="23"/>
  <c r="Q12" i="23"/>
  <c r="R12" i="23"/>
  <c r="S12" i="23"/>
  <c r="T12" i="23"/>
  <c r="U12" i="23"/>
  <c r="V12" i="23"/>
  <c r="W12" i="23"/>
  <c r="X12" i="23"/>
  <c r="Y12" i="23"/>
  <c r="Z12" i="23"/>
  <c r="AA12" i="23"/>
  <c r="AB12" i="23"/>
  <c r="AC12" i="23"/>
  <c r="AD12" i="23"/>
  <c r="AE12" i="23"/>
  <c r="AF12" i="23"/>
  <c r="B12" i="22"/>
  <c r="C12"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N7" i="4"/>
  <c r="AN6" i="4"/>
  <c r="AN5" i="4"/>
  <c r="AN4" i="4"/>
  <c r="AN3" i="4"/>
  <c r="A7" i="4"/>
  <c r="S25" i="25"/>
  <c r="R25" i="25"/>
  <c r="T25" i="25"/>
  <c r="R26" i="25"/>
  <c r="S26" i="25"/>
  <c r="T26" i="25"/>
  <c r="R27" i="25"/>
  <c r="S27" i="25"/>
  <c r="R28" i="25"/>
  <c r="S28" i="25"/>
  <c r="T28" i="25"/>
  <c r="R29" i="25"/>
  <c r="S29" i="25"/>
  <c r="T29" i="25"/>
  <c r="R30" i="25"/>
  <c r="S30" i="25"/>
  <c r="T30" i="25"/>
  <c r="R31" i="25"/>
  <c r="S31" i="25"/>
  <c r="T31" i="25"/>
  <c r="R32" i="25"/>
  <c r="S32" i="25"/>
  <c r="T32" i="25"/>
  <c r="R33" i="25"/>
  <c r="S33" i="25"/>
  <c r="T33" i="25"/>
  <c r="R34" i="25"/>
  <c r="S34" i="25"/>
  <c r="T34" i="25"/>
  <c r="R35" i="25"/>
  <c r="S35" i="25"/>
  <c r="T35" i="25"/>
  <c r="R36" i="25"/>
  <c r="S36" i="25"/>
  <c r="T36" i="25"/>
  <c r="S37" i="25"/>
  <c r="T37" i="25"/>
  <c r="S38" i="25"/>
  <c r="T38" i="25"/>
  <c r="S39" i="25"/>
  <c r="T39" i="25"/>
  <c r="S40" i="25"/>
  <c r="T40" i="25"/>
  <c r="T5" i="25"/>
  <c r="T6" i="25"/>
  <c r="T7" i="25"/>
  <c r="T8" i="25"/>
  <c r="T9" i="25"/>
  <c r="T10" i="25"/>
  <c r="T11" i="25"/>
  <c r="T12" i="25"/>
  <c r="T13" i="25"/>
  <c r="T14" i="25"/>
  <c r="T15" i="25"/>
  <c r="T16" i="25"/>
  <c r="T17" i="25"/>
  <c r="T18" i="25"/>
  <c r="T19" i="25"/>
  <c r="T20" i="25"/>
  <c r="T21" i="25"/>
  <c r="T22" i="25"/>
  <c r="T23" i="25"/>
  <c r="T24" i="25"/>
  <c r="T4" i="25"/>
  <c r="V11" i="15"/>
  <c r="W11" i="15"/>
  <c r="X11" i="15"/>
  <c r="Y11" i="15"/>
  <c r="V12" i="15"/>
  <c r="W12" i="15"/>
  <c r="X12" i="15"/>
  <c r="Y12" i="15"/>
  <c r="V13" i="15"/>
  <c r="W13" i="15"/>
  <c r="X13" i="15"/>
  <c r="Y13" i="15"/>
  <c r="V14" i="15"/>
  <c r="W14" i="15"/>
  <c r="X14" i="15"/>
  <c r="Y14" i="15"/>
  <c r="V15" i="15"/>
  <c r="W15" i="15"/>
  <c r="X15" i="15"/>
  <c r="Y15" i="15"/>
  <c r="V16" i="15"/>
  <c r="W16" i="15"/>
  <c r="X16" i="15"/>
  <c r="Y16" i="15"/>
  <c r="V17" i="15"/>
  <c r="W17" i="15"/>
  <c r="X17" i="15"/>
  <c r="Y17" i="15"/>
  <c r="V18" i="15"/>
  <c r="W18" i="15"/>
  <c r="X18" i="15"/>
  <c r="Y18" i="15"/>
  <c r="V19" i="15"/>
  <c r="W19" i="15"/>
  <c r="X19" i="15"/>
  <c r="Y19" i="15"/>
  <c r="V20" i="15"/>
  <c r="W20" i="15"/>
  <c r="X20" i="15"/>
  <c r="Y20" i="15"/>
  <c r="X41" i="25"/>
  <c r="W41" i="25"/>
  <c r="P42" i="25"/>
  <c r="P41" i="25"/>
  <c r="P43" i="25"/>
  <c r="Q40" i="25"/>
  <c r="Q39" i="25"/>
  <c r="Q38" i="25"/>
  <c r="Q37" i="25"/>
  <c r="Q36" i="25"/>
  <c r="Q35" i="25"/>
  <c r="Q34" i="25"/>
  <c r="Q33" i="25"/>
  <c r="Q32" i="25"/>
  <c r="Q31" i="25"/>
  <c r="Q30" i="25"/>
  <c r="Q29" i="25"/>
  <c r="Q28" i="25"/>
  <c r="Q27" i="25"/>
  <c r="Q26" i="25"/>
  <c r="Q25" i="25"/>
  <c r="AE7" i="1"/>
  <c r="AF7" i="1"/>
  <c r="AE7" i="22"/>
  <c r="AF7" i="22"/>
  <c r="B7" i="12"/>
  <c r="C7" i="12"/>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B7" i="1"/>
  <c r="C7" i="1"/>
  <c r="D7" i="1"/>
  <c r="E7" i="1"/>
  <c r="F7" i="1"/>
  <c r="G7" i="1"/>
  <c r="H7" i="1"/>
  <c r="I7" i="1"/>
  <c r="J7" i="1"/>
  <c r="K7" i="1"/>
  <c r="L7" i="1"/>
  <c r="M7" i="1"/>
  <c r="N7" i="1"/>
  <c r="O7" i="1"/>
  <c r="P7" i="1"/>
  <c r="Q7" i="1"/>
  <c r="R7" i="1"/>
  <c r="S7" i="1"/>
  <c r="T7" i="1"/>
  <c r="U7" i="1"/>
  <c r="V7" i="1"/>
  <c r="W7" i="1"/>
  <c r="X7" i="1"/>
  <c r="Y7" i="1"/>
  <c r="Z7" i="1"/>
  <c r="AA7" i="1"/>
  <c r="AB7" i="1"/>
  <c r="AC7" i="1"/>
  <c r="AD7" i="1"/>
  <c r="B7" i="22"/>
  <c r="C7" i="22"/>
  <c r="D7" i="22"/>
  <c r="E7" i="22"/>
  <c r="F7" i="22"/>
  <c r="G7" i="22"/>
  <c r="H7" i="22"/>
  <c r="I7" i="22"/>
  <c r="J7" i="22"/>
  <c r="K7" i="22"/>
  <c r="L7" i="22"/>
  <c r="M7" i="22"/>
  <c r="N7" i="22"/>
  <c r="O7" i="22"/>
  <c r="P7" i="22"/>
  <c r="Q7" i="22"/>
  <c r="R7" i="22"/>
  <c r="S7" i="22"/>
  <c r="T7" i="22"/>
  <c r="U7" i="22"/>
  <c r="V7" i="22"/>
  <c r="W7" i="22"/>
  <c r="X7" i="22"/>
  <c r="Y7" i="22"/>
  <c r="Z7" i="22"/>
  <c r="AA7" i="22"/>
  <c r="AB7" i="22"/>
  <c r="AC7" i="22"/>
  <c r="AD7" i="22"/>
  <c r="AO7" i="4"/>
  <c r="AG7" i="4"/>
  <c r="N12" i="1"/>
  <c r="AD12" i="1"/>
  <c r="O12" i="1"/>
  <c r="H12" i="1"/>
  <c r="I12" i="1"/>
  <c r="T12" i="1"/>
  <c r="U12" i="1"/>
  <c r="J12" i="1"/>
  <c r="Z12" i="1"/>
  <c r="K12" i="1"/>
  <c r="AA12" i="1"/>
  <c r="AF12" i="1"/>
  <c r="AE12" i="1"/>
  <c r="AB12" i="1"/>
  <c r="AC12" i="1"/>
  <c r="C12" i="1"/>
  <c r="F12" i="1"/>
  <c r="V12" i="1"/>
  <c r="G12" i="1"/>
  <c r="W12" i="1"/>
  <c r="X12" i="1"/>
  <c r="Y12" i="1"/>
  <c r="E12" i="1"/>
  <c r="R12" i="1"/>
  <c r="D12" i="1"/>
  <c r="S12" i="1"/>
  <c r="P12" i="1"/>
  <c r="Q12" i="1"/>
  <c r="L12" i="1"/>
  <c r="M12" i="1"/>
  <c r="B12" i="1"/>
  <c r="Q4" i="1"/>
  <c r="AB4" i="1"/>
  <c r="E31" i="32"/>
  <c r="M4" i="1"/>
  <c r="M11" i="1"/>
  <c r="AE4" i="1"/>
  <c r="Y4" i="1"/>
  <c r="T4" i="1"/>
  <c r="E23" i="32"/>
  <c r="F4" i="1"/>
  <c r="E4" i="1"/>
  <c r="B4" i="1"/>
  <c r="B11" i="1"/>
  <c r="K4" i="1"/>
  <c r="E14" i="32"/>
  <c r="X4" i="1"/>
  <c r="J4" i="1"/>
  <c r="C4" i="1"/>
  <c r="C11" i="1"/>
  <c r="L4" i="1"/>
  <c r="L11" i="1"/>
  <c r="AD4" i="1"/>
  <c r="E33" i="32"/>
  <c r="AA4" i="1"/>
  <c r="R4" i="1"/>
  <c r="E21" i="32"/>
  <c r="S4" i="1"/>
  <c r="N4" i="1"/>
  <c r="P4" i="1"/>
  <c r="I4" i="1"/>
  <c r="AF4" i="1"/>
  <c r="E35" i="32"/>
  <c r="G4" i="1"/>
  <c r="E10" i="32"/>
  <c r="V4" i="1"/>
  <c r="V11" i="1"/>
  <c r="U4" i="1"/>
  <c r="H4" i="1"/>
  <c r="O4" i="1"/>
  <c r="Z4" i="1"/>
  <c r="W4" i="1"/>
  <c r="AC4" i="1"/>
  <c r="D4" i="1"/>
  <c r="E7" i="32"/>
  <c r="E32" i="32"/>
  <c r="AC11" i="1"/>
  <c r="H11" i="1"/>
  <c r="E11" i="32"/>
  <c r="AF11" i="1"/>
  <c r="E22" i="32"/>
  <c r="S11" i="1"/>
  <c r="R11" i="1"/>
  <c r="E27" i="32"/>
  <c r="X11" i="1"/>
  <c r="F11" i="1"/>
  <c r="E9" i="32"/>
  <c r="Y11" i="1"/>
  <c r="E28" i="32"/>
  <c r="D11" i="1"/>
  <c r="W11" i="1"/>
  <c r="E26" i="32"/>
  <c r="O11" i="1"/>
  <c r="E18" i="32"/>
  <c r="G11" i="1"/>
  <c r="E12" i="32"/>
  <c r="I11" i="1"/>
  <c r="N11" i="1"/>
  <c r="E17" i="32"/>
  <c r="E15" i="32"/>
  <c r="J11" i="1"/>
  <c r="E13" i="32"/>
  <c r="T11" i="1"/>
  <c r="AE11" i="1"/>
  <c r="E34" i="32"/>
  <c r="AB11" i="1"/>
  <c r="T27" i="25"/>
  <c r="S42" i="25"/>
  <c r="G34" i="31"/>
  <c r="G35" i="31"/>
  <c r="B34" i="31"/>
  <c r="E11" i="1"/>
  <c r="E8" i="32"/>
  <c r="Q42" i="25"/>
  <c r="Q43" i="25"/>
  <c r="AF7" i="29"/>
  <c r="AF7" i="12"/>
  <c r="D32" i="31"/>
  <c r="U11" i="1"/>
  <c r="E24" i="32"/>
  <c r="E30" i="32"/>
  <c r="AA11" i="1"/>
  <c r="Q11" i="1"/>
  <c r="E20" i="32"/>
  <c r="R41" i="25"/>
  <c r="U46" i="25"/>
  <c r="C34" i="31"/>
  <c r="F34" i="31"/>
  <c r="E16" i="32"/>
  <c r="AD11" i="1"/>
  <c r="E25" i="32"/>
  <c r="K11" i="1"/>
  <c r="Z11" i="1"/>
  <c r="E29" i="32"/>
  <c r="P11" i="1"/>
  <c r="E19" i="32"/>
  <c r="Q41" i="25"/>
  <c r="S41" i="25"/>
  <c r="D34" i="31"/>
  <c r="T41" i="25"/>
  <c r="R42" i="25"/>
  <c r="AF7" i="30"/>
  <c r="E34" i="31"/>
  <c r="D12" i="12"/>
  <c r="H12" i="12"/>
  <c r="L12" i="12"/>
  <c r="P12" i="12"/>
  <c r="T12" i="12"/>
  <c r="X12" i="12"/>
  <c r="AB12" i="12"/>
  <c r="AF12" i="12"/>
  <c r="E12" i="12"/>
  <c r="I12" i="12"/>
  <c r="M12" i="12"/>
  <c r="Q12" i="12"/>
  <c r="U12" i="12"/>
  <c r="Y12" i="12"/>
  <c r="AC12" i="12"/>
  <c r="B12" i="12"/>
  <c r="E6" i="32"/>
  <c r="F12" i="12"/>
  <c r="J12" i="12"/>
  <c r="N12" i="12"/>
  <c r="R12" i="12"/>
  <c r="V12" i="12"/>
  <c r="Z12" i="12"/>
  <c r="AD12" i="12"/>
  <c r="C12" i="12"/>
  <c r="G12" i="12"/>
  <c r="K12" i="12"/>
  <c r="O12" i="12"/>
  <c r="S12" i="12"/>
  <c r="W12" i="12"/>
  <c r="AA12" i="12"/>
  <c r="AE12" i="12"/>
  <c r="E5" i="32"/>
  <c r="C4" i="12"/>
  <c r="C11" i="12"/>
  <c r="S4" i="12"/>
  <c r="S11" i="12"/>
  <c r="AA4" i="12"/>
  <c r="AA11" i="12"/>
  <c r="H4" i="12"/>
  <c r="H11" i="12"/>
  <c r="J4" i="12"/>
  <c r="J11" i="12"/>
  <c r="L4" i="12"/>
  <c r="L11" i="12"/>
  <c r="N4" i="12"/>
  <c r="N11" i="12"/>
  <c r="E4" i="12"/>
  <c r="E11" i="12"/>
  <c r="I4" i="12"/>
  <c r="I11" i="12"/>
  <c r="M4" i="12"/>
  <c r="M11" i="12"/>
  <c r="Q4" i="12"/>
  <c r="Q11" i="12"/>
  <c r="U4" i="12"/>
  <c r="U11" i="12"/>
  <c r="Y4" i="12"/>
  <c r="Y11" i="12"/>
  <c r="AC4" i="12"/>
  <c r="AC11" i="12"/>
  <c r="B4" i="12"/>
  <c r="B11" i="12"/>
  <c r="P4" i="12"/>
  <c r="P11" i="12"/>
  <c r="AF4" i="12"/>
  <c r="AF11" i="12"/>
  <c r="R4" i="12"/>
  <c r="R11" i="12"/>
  <c r="D4" i="12"/>
  <c r="D11" i="12"/>
  <c r="T4" i="12"/>
  <c r="T11" i="12"/>
  <c r="F4" i="12"/>
  <c r="F11" i="12"/>
  <c r="V4" i="12"/>
  <c r="V11" i="12"/>
  <c r="G4" i="12"/>
  <c r="G11" i="12"/>
  <c r="K4" i="12"/>
  <c r="K11" i="12"/>
  <c r="O4" i="12"/>
  <c r="O11" i="12"/>
  <c r="W4" i="12"/>
  <c r="W11" i="12"/>
  <c r="AE4" i="12"/>
  <c r="AE11" i="12"/>
  <c r="X4" i="12"/>
  <c r="X11" i="12"/>
  <c r="Z4" i="12"/>
  <c r="Z11" i="12"/>
  <c r="AB4" i="12"/>
  <c r="AB11" i="12"/>
  <c r="AD4" i="12"/>
  <c r="AD11" i="12"/>
  <c r="R43" i="25"/>
  <c r="S43" i="25"/>
  <c r="AV7" i="4"/>
  <c r="AV6" i="4"/>
  <c r="AF20" i="29" l="1"/>
  <c r="CCM2" i="34" s="1"/>
  <c r="CCN2" i="34"/>
  <c r="CAC2" i="34"/>
  <c r="W15" i="29"/>
  <c r="BUQ2" i="34"/>
  <c r="BXB2" i="34"/>
  <c r="BFC2" i="34"/>
  <c r="BHN2" i="34"/>
  <c r="G16" i="30"/>
  <c r="N15" i="29"/>
  <c r="BWJ2" i="34"/>
  <c r="BTY2" i="34"/>
  <c r="BZX2" i="34"/>
  <c r="AC16" i="29"/>
  <c r="BXM2" i="34"/>
  <c r="BKZ2" i="34"/>
  <c r="U17" i="30"/>
  <c r="BIO2" i="34"/>
  <c r="BWP2" i="34"/>
  <c r="BUE2" i="34"/>
  <c r="Q15" i="29"/>
  <c r="AAU2" i="34"/>
  <c r="ADF2" i="34"/>
  <c r="P15" i="23"/>
  <c r="BVL2" i="34"/>
  <c r="B15" i="29"/>
  <c r="BTA2" i="34"/>
  <c r="ACQ2" i="34"/>
  <c r="AFB2" i="34"/>
  <c r="I16" i="23"/>
  <c r="P16" i="29"/>
  <c r="BWM2" i="34"/>
  <c r="BYX2" i="34"/>
  <c r="E16" i="29"/>
  <c r="BYB2" i="34"/>
  <c r="BVQ2" i="34"/>
  <c r="BWR2" i="34"/>
  <c r="R15" i="29"/>
  <c r="BUG2" i="34"/>
  <c r="BZU2" i="34"/>
  <c r="ADQ2" i="34"/>
  <c r="V16" i="23"/>
  <c r="AGB2" i="34"/>
  <c r="AGH2" i="34"/>
  <c r="ADW2" i="34"/>
  <c r="Y16" i="23"/>
  <c r="BGQ2" i="34"/>
  <c r="AA16" i="30"/>
  <c r="BJB2" i="34"/>
  <c r="BIY2" i="34"/>
  <c r="Z17" i="30"/>
  <c r="BLJ2" i="34"/>
  <c r="Q16" i="30"/>
  <c r="BIH2" i="34"/>
  <c r="BFW2" i="34"/>
  <c r="ABE2" i="34"/>
  <c r="U15" i="23"/>
  <c r="ADP2" i="34"/>
  <c r="AAE2" i="34"/>
  <c r="ACP2" i="34"/>
  <c r="H15" i="23"/>
  <c r="BGC2" i="34"/>
  <c r="T16" i="30"/>
  <c r="BIN2" i="34"/>
  <c r="ZY2" i="34"/>
  <c r="ACJ2" i="34"/>
  <c r="E15" i="23"/>
  <c r="O15" i="29"/>
  <c r="BUA2" i="34"/>
  <c r="BWL2" i="34"/>
  <c r="AF16" i="30"/>
  <c r="BJL2" i="34"/>
  <c r="BHA2" i="34"/>
  <c r="BFE2" i="34"/>
  <c r="BHP2" i="34"/>
  <c r="H16" i="30"/>
  <c r="BKC2" i="34"/>
  <c r="ADV2" i="34"/>
  <c r="ABK2" i="34"/>
  <c r="X15" i="23"/>
  <c r="AAQ2" i="34"/>
  <c r="ADB2" i="34"/>
  <c r="N15" i="23"/>
  <c r="BXX2" i="34"/>
  <c r="C16" i="29"/>
  <c r="BVM2" i="34"/>
  <c r="AEM2" i="34"/>
  <c r="BGA2" i="34"/>
  <c r="BIL2" i="34"/>
  <c r="S16" i="30"/>
  <c r="ABU2" i="34"/>
  <c r="AEF2" i="34"/>
  <c r="AC15" i="23"/>
  <c r="BGY2" i="34"/>
  <c r="BJJ2" i="34"/>
  <c r="AE16" i="30"/>
  <c r="BZT2" i="34"/>
  <c r="AA16" i="29"/>
  <c r="BXI2" i="34"/>
  <c r="BJC2" i="34"/>
  <c r="BLN2" i="34"/>
  <c r="AB17" i="30"/>
  <c r="AFM2" i="34"/>
  <c r="BJM2" i="34"/>
  <c r="R17" i="30"/>
  <c r="BII2" i="34"/>
  <c r="BKT2" i="34"/>
  <c r="BWB2" i="34"/>
  <c r="J15" i="29"/>
  <c r="BTQ2" i="34"/>
  <c r="AEI2" i="34"/>
  <c r="AGT2" i="34"/>
  <c r="AE16" i="23"/>
  <c r="BXH2" i="34"/>
  <c r="Z15" i="29"/>
  <c r="BUW2" i="34"/>
  <c r="I16" i="30"/>
  <c r="BFG2" i="34"/>
  <c r="BHR2" i="34"/>
  <c r="AGI2" i="34"/>
  <c r="AE15" i="29"/>
  <c r="BVG2" i="34"/>
  <c r="BXR2" i="34"/>
  <c r="BYG2" i="34"/>
  <c r="BEU2" i="34"/>
  <c r="BHF2" i="34"/>
  <c r="C16" i="30"/>
  <c r="BGI2" i="34"/>
  <c r="W16" i="30"/>
  <c r="BIT2" i="34"/>
  <c r="V15" i="29"/>
  <c r="BWZ2" i="34"/>
  <c r="BUO2" i="34"/>
  <c r="BYR2" i="34"/>
  <c r="BWG2" i="34"/>
  <c r="M16" i="29"/>
  <c r="BXF2" i="34"/>
  <c r="BUU2" i="34"/>
  <c r="Y15" i="29"/>
  <c r="BGK2" i="34"/>
  <c r="X16" i="30"/>
  <c r="BIV2" i="34"/>
  <c r="AGC2" i="34"/>
  <c r="AFS2" i="34"/>
  <c r="BHW2" i="34"/>
  <c r="BKH2" i="34"/>
  <c r="L17" i="30"/>
  <c r="G15" i="29"/>
  <c r="BTK2" i="34"/>
  <c r="BVV2" i="34"/>
  <c r="F15" i="29"/>
  <c r="BVT2" i="34"/>
  <c r="BTI2" i="34"/>
  <c r="BVZ2" i="34"/>
  <c r="BTO2" i="34"/>
  <c r="I15" i="29"/>
  <c r="BFU2" i="34"/>
  <c r="P16" i="30"/>
  <c r="BIF2" i="34"/>
  <c r="BYO2" i="34"/>
  <c r="AEW2" i="34"/>
  <c r="Y16" i="30"/>
  <c r="BGM2" i="34"/>
  <c r="BIX2" i="34"/>
  <c r="U16" i="29"/>
  <c r="BZH2" i="34"/>
  <c r="BWW2" i="34"/>
  <c r="AD15" i="29"/>
  <c r="BXP2" i="34"/>
  <c r="BVE2" i="34"/>
  <c r="BEW2" i="34"/>
  <c r="BHH2" i="34"/>
  <c r="D16" i="30"/>
  <c r="ADG2" i="34"/>
  <c r="AFR2" i="34"/>
  <c r="Q16" i="23"/>
  <c r="BJT2" i="34"/>
  <c r="E17" i="30"/>
  <c r="BHI2" i="34"/>
  <c r="BFS2" i="34"/>
  <c r="O16" i="30"/>
  <c r="BID2" i="34"/>
  <c r="BZD2" i="34"/>
  <c r="S16" i="29"/>
  <c r="BWS2" i="34"/>
  <c r="BKK2" i="34"/>
  <c r="ACL2" i="34"/>
  <c r="AAA2" i="34"/>
  <c r="F15" i="23"/>
  <c r="BLO2" i="34"/>
  <c r="BYN2" i="34"/>
  <c r="K16" i="29"/>
  <c r="BWC2" i="34"/>
  <c r="BHY2" i="34"/>
  <c r="BKJ2" i="34"/>
  <c r="M17" i="30"/>
  <c r="AFC2" i="34"/>
  <c r="ACA2" i="34"/>
  <c r="AEL2" i="34"/>
  <c r="AF15" i="23"/>
  <c r="BLQ2" i="34"/>
  <c r="BFK2" i="34"/>
  <c r="K16" i="30"/>
  <c r="BHV2" i="34"/>
  <c r="ABW2" i="34"/>
  <c r="AEH2" i="34"/>
  <c r="AD15" i="23"/>
  <c r="AAO2" i="34"/>
  <c r="ACZ2" i="34"/>
  <c r="M15" i="23"/>
  <c r="BZM2" i="34"/>
  <c r="AO6" i="4"/>
  <c r="L10" i="1"/>
  <c r="AA11" i="20"/>
  <c r="S11" i="20"/>
  <c r="K11" i="20"/>
  <c r="C11" i="20"/>
  <c r="Y11" i="22"/>
  <c r="Q11" i="22"/>
  <c r="I11" i="22"/>
  <c r="AD10" i="1"/>
  <c r="V10" i="1"/>
  <c r="N10" i="1"/>
  <c r="F10" i="1"/>
  <c r="AC10" i="12"/>
  <c r="U10" i="12"/>
  <c r="M10" i="12"/>
  <c r="E10" i="12"/>
  <c r="AB8" i="30"/>
  <c r="T8" i="30"/>
  <c r="L8" i="30"/>
  <c r="D8" i="30"/>
  <c r="Z11" i="20"/>
  <c r="R11" i="20"/>
  <c r="J11" i="20"/>
  <c r="B11" i="20"/>
  <c r="AF11" i="22"/>
  <c r="X11" i="22"/>
  <c r="P11" i="22"/>
  <c r="H11" i="22"/>
  <c r="AC10" i="1"/>
  <c r="U10" i="1"/>
  <c r="M10" i="1"/>
  <c r="E10" i="1"/>
  <c r="AB10" i="12"/>
  <c r="T10" i="12"/>
  <c r="L10" i="12"/>
  <c r="D10" i="12"/>
  <c r="AA8" i="30"/>
  <c r="S8" i="30"/>
  <c r="K8" i="30"/>
  <c r="C8" i="30"/>
  <c r="Q11" i="20"/>
  <c r="G11" i="22"/>
  <c r="T10" i="1"/>
  <c r="AA10" i="12"/>
  <c r="C10" i="12"/>
  <c r="X11" i="20"/>
  <c r="H11" i="20"/>
  <c r="N11" i="22"/>
  <c r="S10" i="1"/>
  <c r="C10" i="1"/>
  <c r="R10" i="12"/>
  <c r="J10" i="12"/>
  <c r="Y8" i="30"/>
  <c r="I8" i="30"/>
  <c r="AE11" i="20"/>
  <c r="W11" i="20"/>
  <c r="O11" i="20"/>
  <c r="G11" i="20"/>
  <c r="AC11" i="22"/>
  <c r="U11" i="22"/>
  <c r="M11" i="22"/>
  <c r="E11" i="22"/>
  <c r="Z10" i="1"/>
  <c r="R10" i="1"/>
  <c r="J10" i="1"/>
  <c r="B10" i="1"/>
  <c r="Y10" i="12"/>
  <c r="Q10" i="12"/>
  <c r="I10" i="12"/>
  <c r="AF8" i="30"/>
  <c r="X8" i="30"/>
  <c r="P8" i="30"/>
  <c r="H8" i="30"/>
  <c r="Y11" i="20"/>
  <c r="AE11" i="22"/>
  <c r="O11" i="22"/>
  <c r="AB10" i="1"/>
  <c r="D10" i="1"/>
  <c r="S10" i="12"/>
  <c r="K10" i="12"/>
  <c r="Z8" i="30"/>
  <c r="R8" i="30"/>
  <c r="B8" i="30"/>
  <c r="AF11" i="20"/>
  <c r="P11" i="20"/>
  <c r="AD11" i="22"/>
  <c r="V11" i="22"/>
  <c r="F11" i="22"/>
  <c r="AA10" i="1"/>
  <c r="K10" i="1"/>
  <c r="Z10" i="12"/>
  <c r="B10" i="12"/>
  <c r="Q8" i="30"/>
  <c r="AD11" i="20"/>
  <c r="V11" i="20"/>
  <c r="N11" i="20"/>
  <c r="F11" i="20"/>
  <c r="AB11" i="22"/>
  <c r="T11" i="22"/>
  <c r="L11" i="22"/>
  <c r="D11" i="22"/>
  <c r="Y10" i="1"/>
  <c r="Q10" i="1"/>
  <c r="I10" i="1"/>
  <c r="AF10" i="12"/>
  <c r="X10" i="12"/>
  <c r="P10" i="12"/>
  <c r="H10" i="12"/>
  <c r="AE8" i="30"/>
  <c r="W8" i="30"/>
  <c r="O8" i="30"/>
  <c r="G8" i="30"/>
  <c r="I11" i="20"/>
  <c r="W11" i="22"/>
  <c r="J8" i="30"/>
  <c r="AC11" i="20"/>
  <c r="U11" i="20"/>
  <c r="M11" i="20"/>
  <c r="E11" i="20"/>
  <c r="AA11" i="22"/>
  <c r="S11" i="22"/>
  <c r="K11" i="22"/>
  <c r="C11" i="22"/>
  <c r="AF10" i="1"/>
  <c r="X10" i="1"/>
  <c r="P10" i="1"/>
  <c r="H10" i="1"/>
  <c r="AE10" i="12"/>
  <c r="W10" i="12"/>
  <c r="O10" i="12"/>
  <c r="G10" i="12"/>
  <c r="AD8" i="30"/>
  <c r="V8" i="30"/>
  <c r="N8" i="30"/>
  <c r="F8" i="30"/>
  <c r="AB11" i="20"/>
  <c r="T11" i="20"/>
  <c r="L11" i="20"/>
  <c r="D11" i="20"/>
  <c r="Z11" i="22"/>
  <c r="R11" i="22"/>
  <c r="J11" i="22"/>
  <c r="B11" i="22"/>
  <c r="AE10" i="1"/>
  <c r="W10" i="1"/>
  <c r="O10" i="1"/>
  <c r="G10" i="1"/>
  <c r="AD10" i="12"/>
  <c r="V10" i="12"/>
  <c r="N10" i="12"/>
  <c r="F10" i="12"/>
  <c r="AC8" i="30"/>
  <c r="U8" i="30"/>
  <c r="M8" i="30"/>
  <c r="E8" i="30"/>
  <c r="AG6" i="4"/>
  <c r="A6" i="4"/>
  <c r="O14" i="1" l="1"/>
  <c r="AMR2" i="34"/>
  <c r="RV2" i="34"/>
  <c r="W15" i="22"/>
  <c r="GB2" i="34"/>
  <c r="Y15" i="20"/>
  <c r="RX2" i="34"/>
  <c r="X15" i="22"/>
  <c r="AFQ2" i="34"/>
  <c r="BYJ2" i="34"/>
  <c r="BVY2" i="34"/>
  <c r="I16" i="29"/>
  <c r="O16" i="29"/>
  <c r="BYV2" i="34"/>
  <c r="BWK2" i="34"/>
  <c r="W14" i="1"/>
  <c r="ANH2" i="34"/>
  <c r="RN2" i="34"/>
  <c r="S15" i="22"/>
  <c r="ANP2" i="34"/>
  <c r="AA14" i="1"/>
  <c r="AMH2" i="34"/>
  <c r="J14" i="1"/>
  <c r="AB14" i="12"/>
  <c r="AXF2" i="34"/>
  <c r="BZR2" i="34"/>
  <c r="BXG2" i="34"/>
  <c r="Z16" i="29"/>
  <c r="AXJ2" i="34"/>
  <c r="AD14" i="12"/>
  <c r="SB2" i="34"/>
  <c r="Z15" i="22"/>
  <c r="ANZ2" i="34"/>
  <c r="AF14" i="1"/>
  <c r="GJ2" i="34"/>
  <c r="AC15" i="20"/>
  <c r="AVR2" i="34"/>
  <c r="H14" i="12"/>
  <c r="QZ2" i="34"/>
  <c r="L15" i="22"/>
  <c r="B14" i="12"/>
  <c r="AVF2" i="34"/>
  <c r="GP2" i="34"/>
  <c r="AF15" i="20"/>
  <c r="RF2" i="34"/>
  <c r="O15" i="22"/>
  <c r="AWJ2" i="34"/>
  <c r="Q14" i="12"/>
  <c r="RR2" i="34"/>
  <c r="U15" i="22"/>
  <c r="AVV2" i="34"/>
  <c r="J14" i="12"/>
  <c r="AXD2" i="34"/>
  <c r="AA14" i="12"/>
  <c r="D14" i="12"/>
  <c r="AVJ2" i="34"/>
  <c r="QR2" i="34"/>
  <c r="H15" i="22"/>
  <c r="ALZ2" i="34"/>
  <c r="F14" i="1"/>
  <c r="EZ2" i="34"/>
  <c r="K15" i="20"/>
  <c r="AFJ2" i="34"/>
  <c r="ACY2" i="34"/>
  <c r="M16" i="23"/>
  <c r="BJS2" i="34"/>
  <c r="Y17" i="30"/>
  <c r="BLH2" i="34"/>
  <c r="BIW2" i="34"/>
  <c r="BIE2" i="34"/>
  <c r="BKP2" i="34"/>
  <c r="P17" i="30"/>
  <c r="L21" i="30" s="1"/>
  <c r="BMQ2" i="34" s="1"/>
  <c r="CCD2" i="34"/>
  <c r="BZS2" i="34"/>
  <c r="S17" i="30"/>
  <c r="BKV2" i="34"/>
  <c r="BIK2" i="34"/>
  <c r="AGG2" i="34"/>
  <c r="AIR2" i="34"/>
  <c r="Y20" i="23"/>
  <c r="AIQ2" i="34" s="1"/>
  <c r="ADE2" i="34"/>
  <c r="AFP2" i="34"/>
  <c r="P16" i="23"/>
  <c r="G14" i="1"/>
  <c r="AMB2" i="34"/>
  <c r="EL2" i="34"/>
  <c r="D15" i="20"/>
  <c r="AVP2" i="34"/>
  <c r="G14" i="12"/>
  <c r="QH2" i="34"/>
  <c r="C15" i="22"/>
  <c r="AWH2" i="34"/>
  <c r="P14" i="12"/>
  <c r="RP2" i="34"/>
  <c r="T15" i="22"/>
  <c r="AXB2" i="34"/>
  <c r="Z14" i="12"/>
  <c r="SL2" i="34"/>
  <c r="AE15" i="22"/>
  <c r="AWZ2" i="34"/>
  <c r="Y14" i="12"/>
  <c r="SH2" i="34"/>
  <c r="AC15" i="22"/>
  <c r="R14" i="12"/>
  <c r="AWL2" i="34"/>
  <c r="ANB2" i="34"/>
  <c r="T14" i="1"/>
  <c r="AVZ2" i="34"/>
  <c r="L14" i="12"/>
  <c r="RH2" i="34"/>
  <c r="P15" i="22"/>
  <c r="AMP2" i="34"/>
  <c r="N14" i="1"/>
  <c r="FP2" i="34"/>
  <c r="S15" i="20"/>
  <c r="BIS2" i="34"/>
  <c r="W17" i="30"/>
  <c r="BLD2" i="34"/>
  <c r="I17" i="30"/>
  <c r="BHQ2" i="34"/>
  <c r="BKB2" i="34"/>
  <c r="BYL2" i="34"/>
  <c r="BWA2" i="34"/>
  <c r="J16" i="29"/>
  <c r="ADA2" i="34"/>
  <c r="AFL2" i="34"/>
  <c r="N16" i="23"/>
  <c r="ACO2" i="34"/>
  <c r="AEZ2" i="34"/>
  <c r="H16" i="23"/>
  <c r="BIG2" i="34"/>
  <c r="Q17" i="30"/>
  <c r="BKR2" i="34"/>
  <c r="BYW2" i="34"/>
  <c r="QX2" i="34"/>
  <c r="K15" i="22"/>
  <c r="QP2" i="34"/>
  <c r="G15" i="22"/>
  <c r="ANF2" i="34"/>
  <c r="V14" i="1"/>
  <c r="BKI2" i="34"/>
  <c r="BYQ2" i="34"/>
  <c r="BJI2" i="34"/>
  <c r="BLT2" i="34"/>
  <c r="AE17" i="30"/>
  <c r="AB21" i="30" s="1"/>
  <c r="BNW2" i="34" s="1"/>
  <c r="BHO2" i="34"/>
  <c r="BJZ2" i="34"/>
  <c r="H17" i="30"/>
  <c r="BZB2" i="34"/>
  <c r="BWQ2" i="34"/>
  <c r="R16" i="29"/>
  <c r="AFA2" i="34"/>
  <c r="AHL2" i="34"/>
  <c r="I20" i="23"/>
  <c r="AHK2" i="34" s="1"/>
  <c r="EV2" i="34"/>
  <c r="I15" i="20"/>
  <c r="FL2" i="34"/>
  <c r="Q15" i="20"/>
  <c r="ANV2" i="34"/>
  <c r="AD14" i="1"/>
  <c r="AEG2" i="34"/>
  <c r="AGR2" i="34"/>
  <c r="AD16" i="23"/>
  <c r="BHE2" i="34"/>
  <c r="C17" i="30"/>
  <c r="BJP2" i="34"/>
  <c r="BWO2" i="34"/>
  <c r="BYZ2" i="34"/>
  <c r="Q16" i="29"/>
  <c r="CAZ2" i="34" s="1"/>
  <c r="SD2" i="34"/>
  <c r="AA15" i="22"/>
  <c r="QN2" i="34"/>
  <c r="F15" i="22"/>
  <c r="FX2" i="34"/>
  <c r="W15" i="20"/>
  <c r="EH2" i="34"/>
  <c r="B15" i="20"/>
  <c r="BLM2" i="34"/>
  <c r="ADU2" i="34"/>
  <c r="AGF2" i="34"/>
  <c r="X16" i="23"/>
  <c r="AIL2" i="34"/>
  <c r="AGA2" i="34"/>
  <c r="V20" i="23"/>
  <c r="AIK2" i="34" s="1"/>
  <c r="W16" i="29"/>
  <c r="BZL2" i="34"/>
  <c r="BXA2" i="34"/>
  <c r="F14" i="12"/>
  <c r="AVN2" i="34"/>
  <c r="QF2" i="34"/>
  <c r="B15" i="22"/>
  <c r="AMD2" i="34"/>
  <c r="H14" i="1"/>
  <c r="EN2" i="34"/>
  <c r="E15" i="20"/>
  <c r="AMV2" i="34"/>
  <c r="Q14" i="1"/>
  <c r="FV2" i="34"/>
  <c r="V15" i="20"/>
  <c r="RT2" i="34"/>
  <c r="V15" i="22"/>
  <c r="AWN2" i="34"/>
  <c r="S14" i="12"/>
  <c r="ANN2" i="34"/>
  <c r="Z14" i="1"/>
  <c r="GN2" i="34"/>
  <c r="AE15" i="20"/>
  <c r="ET2" i="34"/>
  <c r="H15" i="20"/>
  <c r="AMN2" i="34"/>
  <c r="M14" i="1"/>
  <c r="EX2" i="34"/>
  <c r="J15" i="20"/>
  <c r="AWB2" i="34"/>
  <c r="M14" i="12"/>
  <c r="RJ2" i="34"/>
  <c r="Q15" i="22"/>
  <c r="BIC2" i="34"/>
  <c r="BKN2" i="34"/>
  <c r="O17" i="30"/>
  <c r="M21" i="30" s="1"/>
  <c r="BMS2" i="34" s="1"/>
  <c r="BHG2" i="34"/>
  <c r="BJR2" i="34"/>
  <c r="D17" i="30"/>
  <c r="BZG2" i="34"/>
  <c r="BIU2" i="34"/>
  <c r="BLF2" i="34"/>
  <c r="X17" i="30"/>
  <c r="AGS2" i="34"/>
  <c r="AJD2" i="34"/>
  <c r="BKS2" i="34"/>
  <c r="AGP2" i="34"/>
  <c r="AEE2" i="34"/>
  <c r="AC16" i="23"/>
  <c r="AFZ2" i="34"/>
  <c r="U16" i="23"/>
  <c r="AIB2" i="34" s="1"/>
  <c r="ADO2" i="34"/>
  <c r="AWF2" i="34"/>
  <c r="O14" i="12"/>
  <c r="SF2" i="34"/>
  <c r="AB15" i="22"/>
  <c r="ER2" i="34"/>
  <c r="G15" i="20"/>
  <c r="BZZ2" i="34"/>
  <c r="BXO2" i="34"/>
  <c r="AD16" i="29"/>
  <c r="AWV2" i="34"/>
  <c r="W14" i="12"/>
  <c r="EP2" i="34"/>
  <c r="F15" i="20"/>
  <c r="FH2" i="34"/>
  <c r="O15" i="20"/>
  <c r="ACK2" i="34"/>
  <c r="AEV2" i="34"/>
  <c r="F16" i="23"/>
  <c r="AE16" i="29"/>
  <c r="AC20" i="29" s="1"/>
  <c r="CCG2" i="34" s="1"/>
  <c r="CAB2" i="34"/>
  <c r="BXQ2" i="34"/>
  <c r="BLI2" i="34"/>
  <c r="AXL2" i="34"/>
  <c r="AE14" i="12"/>
  <c r="FF2" i="34"/>
  <c r="N15" i="20"/>
  <c r="RD2" i="34"/>
  <c r="N15" i="22"/>
  <c r="ALX2" i="34"/>
  <c r="E14" i="1"/>
  <c r="QT2" i="34"/>
  <c r="I15" i="22"/>
  <c r="ANL2" i="34"/>
  <c r="Y14" i="1"/>
  <c r="BJA2" i="34"/>
  <c r="BLL2" i="34"/>
  <c r="AA17" i="30"/>
  <c r="BYA2" i="34"/>
  <c r="BXV2" i="34"/>
  <c r="BVK2" i="34"/>
  <c r="B16" i="29"/>
  <c r="BYT2" i="34"/>
  <c r="BWI2" i="34"/>
  <c r="N16" i="29"/>
  <c r="L20" i="29" s="1"/>
  <c r="CAY2" i="34" s="1"/>
  <c r="FB2" i="34"/>
  <c r="L15" i="20"/>
  <c r="AWX2" i="34"/>
  <c r="X14" i="12"/>
  <c r="AMJ2" i="34"/>
  <c r="K14" i="1"/>
  <c r="ALR2" i="34"/>
  <c r="B14" i="1"/>
  <c r="ALT2" i="34"/>
  <c r="C14" i="1"/>
  <c r="AWP2" i="34"/>
  <c r="T14" i="12"/>
  <c r="GF2" i="34"/>
  <c r="AA15" i="20"/>
  <c r="BZC2" i="34"/>
  <c r="G16" i="29"/>
  <c r="CAL2" i="34" s="1"/>
  <c r="BYF2" i="34"/>
  <c r="BVU2" i="34"/>
  <c r="BZW2" i="34"/>
  <c r="FR2" i="34"/>
  <c r="T15" i="20"/>
  <c r="AXN2" i="34"/>
  <c r="AF14" i="12"/>
  <c r="AMZ2" i="34"/>
  <c r="S14" i="1"/>
  <c r="SN2" i="34"/>
  <c r="AF15" i="22"/>
  <c r="AML2" i="34"/>
  <c r="L14" i="1"/>
  <c r="BKG2" i="34"/>
  <c r="AET2" i="34"/>
  <c r="ACI2" i="34"/>
  <c r="E16" i="23"/>
  <c r="AE14" i="1"/>
  <c r="ANX2" i="34"/>
  <c r="GH2" i="34"/>
  <c r="AB15" i="20"/>
  <c r="AMF2" i="34"/>
  <c r="I14" i="1"/>
  <c r="AVX2" i="34"/>
  <c r="K14" i="12"/>
  <c r="AMX2" i="34"/>
  <c r="R14" i="1"/>
  <c r="AVL2" i="34"/>
  <c r="E14" i="12"/>
  <c r="AEK2" i="34"/>
  <c r="AGV2" i="34"/>
  <c r="AF16" i="23"/>
  <c r="Q20" i="23" s="1"/>
  <c r="AIA2" i="34" s="1"/>
  <c r="N14" i="12"/>
  <c r="AWD2" i="34"/>
  <c r="QV2" i="34"/>
  <c r="J15" i="22"/>
  <c r="AMT2" i="34"/>
  <c r="P14" i="1"/>
  <c r="FD2" i="34"/>
  <c r="M15" i="20"/>
  <c r="GL2" i="34"/>
  <c r="AD15" i="20"/>
  <c r="SJ2" i="34"/>
  <c r="AD15" i="22"/>
  <c r="ALV2" i="34"/>
  <c r="D14" i="1"/>
  <c r="QL2" i="34"/>
  <c r="E15" i="22"/>
  <c r="FZ2" i="34"/>
  <c r="X15" i="20"/>
  <c r="AND2" i="34"/>
  <c r="U14" i="1"/>
  <c r="FN2" i="34"/>
  <c r="R15" i="20"/>
  <c r="AWR2" i="34"/>
  <c r="U14" i="12"/>
  <c r="RZ2" i="34"/>
  <c r="Y15" i="22"/>
  <c r="BYM2" i="34"/>
  <c r="V14" i="12"/>
  <c r="AWT2" i="34"/>
  <c r="RL2" i="34"/>
  <c r="R15" i="22"/>
  <c r="ANJ2" i="34"/>
  <c r="X14" i="1"/>
  <c r="FT2" i="34"/>
  <c r="U15" i="20"/>
  <c r="QJ2" i="34"/>
  <c r="D15" i="22"/>
  <c r="FJ2" i="34"/>
  <c r="P15" i="20"/>
  <c r="ANR2" i="34"/>
  <c r="AB14" i="1"/>
  <c r="AVT2" i="34"/>
  <c r="I14" i="12"/>
  <c r="RB2" i="34"/>
  <c r="M15" i="22"/>
  <c r="AVH2" i="34"/>
  <c r="C14" i="12"/>
  <c r="ANT2" i="34"/>
  <c r="AC14" i="1"/>
  <c r="GD2" i="34"/>
  <c r="Z15" i="20"/>
  <c r="AXH2" i="34"/>
  <c r="AC14" i="12"/>
  <c r="EJ2" i="34"/>
  <c r="C15" i="20"/>
  <c r="BKF2" i="34"/>
  <c r="BHU2" i="34"/>
  <c r="K17" i="30"/>
  <c r="BYD2" i="34"/>
  <c r="BVS2" i="34"/>
  <c r="F16" i="29"/>
  <c r="E20" i="29" s="1"/>
  <c r="CAK2" i="34" s="1"/>
  <c r="BXE2" i="34"/>
  <c r="BZP2" i="34"/>
  <c r="Y16" i="29"/>
  <c r="BZJ2" i="34"/>
  <c r="BWY2" i="34"/>
  <c r="V16" i="29"/>
  <c r="BXW2" i="34"/>
  <c r="BJK2" i="34"/>
  <c r="BLV2" i="34"/>
  <c r="AF17" i="30"/>
  <c r="BIM2" i="34"/>
  <c r="BKX2" i="34"/>
  <c r="T17" i="30"/>
  <c r="BND2" i="34" s="1"/>
  <c r="BKY2" i="34"/>
  <c r="G17" i="30"/>
  <c r="E21" i="30" s="1"/>
  <c r="BMC2" i="34" s="1"/>
  <c r="BHM2" i="34"/>
  <c r="BJX2" i="34"/>
  <c r="A4" i="4"/>
  <c r="AG4" i="4"/>
  <c r="APN2" i="34" l="1"/>
  <c r="ANC2" i="34"/>
  <c r="U15" i="1"/>
  <c r="APV2" i="34"/>
  <c r="ANK2" i="34"/>
  <c r="Y15" i="1"/>
  <c r="V20" i="29"/>
  <c r="CBS2" i="34" s="1"/>
  <c r="CBT2" i="34"/>
  <c r="BZI2" i="34"/>
  <c r="GC2" i="34"/>
  <c r="IN2" i="34"/>
  <c r="Z16" i="20"/>
  <c r="AYD2" i="34"/>
  <c r="AVS2" i="34"/>
  <c r="I15" i="12"/>
  <c r="ID2" i="34"/>
  <c r="FS2" i="34"/>
  <c r="U16" i="20"/>
  <c r="FM2" i="34"/>
  <c r="HX2" i="34"/>
  <c r="R16" i="20"/>
  <c r="AOF2" i="34"/>
  <c r="D15" i="1"/>
  <c r="ALU2" i="34"/>
  <c r="P15" i="1"/>
  <c r="APD2" i="34"/>
  <c r="AMS2" i="34"/>
  <c r="AYZ2" i="34"/>
  <c r="AWO2" i="34"/>
  <c r="T15" i="12"/>
  <c r="AZH2" i="34"/>
  <c r="AWW2" i="34"/>
  <c r="X15" i="12"/>
  <c r="TN2" i="34"/>
  <c r="RC2" i="34"/>
  <c r="N16" i="22"/>
  <c r="Z21" i="30"/>
  <c r="BNS2" i="34" s="1"/>
  <c r="HB2" i="34"/>
  <c r="EQ2" i="34"/>
  <c r="G16" i="20"/>
  <c r="CBR2" i="34"/>
  <c r="HF2" i="34"/>
  <c r="EU2" i="34"/>
  <c r="I16" i="20"/>
  <c r="H21" i="30"/>
  <c r="BMI2" i="34" s="1"/>
  <c r="BMJ2" i="34"/>
  <c r="BJY2" i="34"/>
  <c r="QW2" i="34"/>
  <c r="TH2" i="34"/>
  <c r="K16" i="22"/>
  <c r="AEY2" i="34"/>
  <c r="AHJ2" i="34"/>
  <c r="H20" i="23"/>
  <c r="AHI2" i="34" s="1"/>
  <c r="AHH2" i="34"/>
  <c r="G20" i="23"/>
  <c r="AHG2" i="34" s="1"/>
  <c r="AA20" i="29"/>
  <c r="CCC2" i="34" s="1"/>
  <c r="BNR2" i="34"/>
  <c r="BLG2" i="34"/>
  <c r="Y21" i="30"/>
  <c r="BNQ2" i="34" s="1"/>
  <c r="ANO2" i="34"/>
  <c r="APZ2" i="34"/>
  <c r="AA15" i="1"/>
  <c r="CBF2" i="34"/>
  <c r="BYU2" i="34"/>
  <c r="O20" i="29"/>
  <c r="CBE2" i="34" s="1"/>
  <c r="K21" i="30"/>
  <c r="BMO2" i="34" s="1"/>
  <c r="BKE2" i="34"/>
  <c r="BMP2" i="34"/>
  <c r="J21" i="30"/>
  <c r="BMM2" i="34" s="1"/>
  <c r="BMN2" i="34"/>
  <c r="K20" i="29"/>
  <c r="CAW2" i="34" s="1"/>
  <c r="E15" i="12"/>
  <c r="AVK2" i="34"/>
  <c r="AXV2" i="34"/>
  <c r="GG2" i="34"/>
  <c r="IR2" i="34"/>
  <c r="AB16" i="20"/>
  <c r="BMR2" i="34"/>
  <c r="AZX2" i="34"/>
  <c r="AXM2" i="34"/>
  <c r="AF15" i="12"/>
  <c r="EO2" i="34"/>
  <c r="GZ2" i="34"/>
  <c r="F16" i="20"/>
  <c r="AGO2" i="34"/>
  <c r="AIZ2" i="34"/>
  <c r="AC20" i="23"/>
  <c r="AIY2" i="34" s="1"/>
  <c r="AB20" i="23"/>
  <c r="AIW2" i="34" s="1"/>
  <c r="AIV2" i="34"/>
  <c r="AIX2" i="34"/>
  <c r="AA20" i="23"/>
  <c r="AIU2" i="34" s="1"/>
  <c r="AIT2" i="34"/>
  <c r="Z20" i="23"/>
  <c r="AIS2" i="34" s="1"/>
  <c r="U20" i="29"/>
  <c r="CBQ2" i="34" s="1"/>
  <c r="TT2" i="34"/>
  <c r="RI2" i="34"/>
  <c r="Q16" i="22"/>
  <c r="HD2" i="34"/>
  <c r="ES2" i="34"/>
  <c r="H16" i="20"/>
  <c r="UD2" i="34"/>
  <c r="RS2" i="34"/>
  <c r="V16" i="22"/>
  <c r="H15" i="1"/>
  <c r="AON2" i="34"/>
  <c r="AMC2" i="34"/>
  <c r="CBV2" i="34"/>
  <c r="BZK2" i="34"/>
  <c r="W20" i="29"/>
  <c r="CBU2" i="34" s="1"/>
  <c r="SC2" i="34"/>
  <c r="UN2" i="34"/>
  <c r="AA16" i="22"/>
  <c r="AJB2" i="34"/>
  <c r="AGQ2" i="34"/>
  <c r="AD20" i="23"/>
  <c r="AJA2" i="34" s="1"/>
  <c r="AOZ2" i="34"/>
  <c r="AMO2" i="34"/>
  <c r="N15" i="1"/>
  <c r="AZL2" i="34"/>
  <c r="AXA2" i="34"/>
  <c r="Z15" i="12"/>
  <c r="AVO2" i="34"/>
  <c r="G15" i="12"/>
  <c r="AXZ2" i="34"/>
  <c r="AOJ2" i="34"/>
  <c r="ALY2" i="34"/>
  <c r="F15" i="1"/>
  <c r="AYF2" i="34"/>
  <c r="AVU2" i="34"/>
  <c r="J15" i="12"/>
  <c r="IZ2" i="34"/>
  <c r="GO2" i="34"/>
  <c r="AF16" i="20"/>
  <c r="IT2" i="34"/>
  <c r="GI2" i="34"/>
  <c r="AC16" i="20"/>
  <c r="BZQ2" i="34"/>
  <c r="CCB2" i="34"/>
  <c r="Z20" i="29"/>
  <c r="CCA2" i="34" s="1"/>
  <c r="I20" i="29"/>
  <c r="CAS2" i="34" s="1"/>
  <c r="BYI2" i="34"/>
  <c r="CAT2" i="34"/>
  <c r="CAR2" i="34"/>
  <c r="H20" i="29"/>
  <c r="CAQ2" i="34" s="1"/>
  <c r="IL2" i="34"/>
  <c r="GA2" i="34"/>
  <c r="Y16" i="20"/>
  <c r="BJW2" i="34"/>
  <c r="G21" i="30"/>
  <c r="BMG2" i="34" s="1"/>
  <c r="BMH2" i="34"/>
  <c r="BMF2" i="34"/>
  <c r="F21" i="30"/>
  <c r="BME2" i="34" s="1"/>
  <c r="AQD2" i="34"/>
  <c r="ANS2" i="34"/>
  <c r="AC15" i="1"/>
  <c r="QU2" i="34"/>
  <c r="TF2" i="34"/>
  <c r="J16" i="22"/>
  <c r="FA2" i="34"/>
  <c r="HL2" i="34"/>
  <c r="L16" i="20"/>
  <c r="X21" i="30"/>
  <c r="BNO2" i="34" s="1"/>
  <c r="BNP2" i="34"/>
  <c r="BLE2" i="34"/>
  <c r="Y20" i="29"/>
  <c r="CBY2" i="34" s="1"/>
  <c r="BZO2" i="34"/>
  <c r="CBZ2" i="34"/>
  <c r="X20" i="29"/>
  <c r="CBW2" i="34" s="1"/>
  <c r="CBX2" i="34"/>
  <c r="AOV2" i="34"/>
  <c r="AMK2" i="34"/>
  <c r="L15" i="1"/>
  <c r="AWU2" i="34"/>
  <c r="W15" i="12"/>
  <c r="AZF2" i="34"/>
  <c r="IX2" i="34"/>
  <c r="GM2" i="34"/>
  <c r="AE16" i="20"/>
  <c r="Q20" i="29"/>
  <c r="CBI2" i="34" s="1"/>
  <c r="BYY2" i="34"/>
  <c r="CBJ2" i="34"/>
  <c r="BLS2" i="34"/>
  <c r="BOD2" i="34"/>
  <c r="AE21" i="30"/>
  <c r="BOC2" i="34" s="1"/>
  <c r="BOB2" i="34"/>
  <c r="AD21" i="30"/>
  <c r="BOA2" i="34" s="1"/>
  <c r="AC21" i="30"/>
  <c r="BNY2" i="34" s="1"/>
  <c r="BNZ2" i="34"/>
  <c r="AF15" i="1"/>
  <c r="AQJ2" i="34"/>
  <c r="ANY2" i="34"/>
  <c r="HT2" i="34"/>
  <c r="FI2" i="34"/>
  <c r="P16" i="20"/>
  <c r="IJ2" i="34"/>
  <c r="FY2" i="34"/>
  <c r="X16" i="20"/>
  <c r="GK2" i="34"/>
  <c r="IV2" i="34"/>
  <c r="AD16" i="20"/>
  <c r="ANW2" i="34"/>
  <c r="AQH2" i="34"/>
  <c r="AE15" i="1"/>
  <c r="P20" i="29"/>
  <c r="CBG2" i="34" s="1"/>
  <c r="AXP2" i="34"/>
  <c r="AVE2" i="34"/>
  <c r="B15" i="12"/>
  <c r="BNJ2" i="34"/>
  <c r="C20" i="29"/>
  <c r="CAG2" i="34" s="1"/>
  <c r="AYN2" i="34"/>
  <c r="AWC2" i="34"/>
  <c r="N15" i="12"/>
  <c r="AVW2" i="34"/>
  <c r="AYH2" i="34"/>
  <c r="K15" i="12"/>
  <c r="AES2" i="34"/>
  <c r="AHD2" i="34"/>
  <c r="E20" i="23"/>
  <c r="AHC2" i="34" s="1"/>
  <c r="D20" i="23"/>
  <c r="AHA2" i="34" s="1"/>
  <c r="AHB2" i="34"/>
  <c r="AGZ2" i="34"/>
  <c r="C20" i="23"/>
  <c r="AGY2" i="34" s="1"/>
  <c r="B20" i="23"/>
  <c r="AGW2" i="34" s="1"/>
  <c r="AGX2" i="34"/>
  <c r="SM2" i="34"/>
  <c r="UX2" i="34"/>
  <c r="AF16" i="22"/>
  <c r="CBN2" i="34"/>
  <c r="CCJ2" i="34"/>
  <c r="AD20" i="29"/>
  <c r="CCI2" i="34" s="1"/>
  <c r="BZY2" i="34"/>
  <c r="EW2" i="34"/>
  <c r="HH2" i="34"/>
  <c r="J16" i="20"/>
  <c r="APX2" i="34"/>
  <c r="ANM2" i="34"/>
  <c r="Z15" i="1"/>
  <c r="APF2" i="34"/>
  <c r="AMU2" i="34"/>
  <c r="Q15" i="1"/>
  <c r="AGE2" i="34"/>
  <c r="AIP2" i="34"/>
  <c r="X20" i="23"/>
  <c r="AIO2" i="34" s="1"/>
  <c r="AIN2" i="34"/>
  <c r="W20" i="23"/>
  <c r="AIM2" i="34" s="1"/>
  <c r="IH2" i="34"/>
  <c r="FW2" i="34"/>
  <c r="W16" i="20"/>
  <c r="R20" i="29"/>
  <c r="CBK2" i="34" s="1"/>
  <c r="CBL2" i="34"/>
  <c r="BZA2" i="34"/>
  <c r="BLC2" i="34"/>
  <c r="W21" i="30"/>
  <c r="BNM2" i="34" s="1"/>
  <c r="BNN2" i="34"/>
  <c r="V21" i="30"/>
  <c r="BNK2" i="34" s="1"/>
  <c r="BNL2" i="34"/>
  <c r="AYJ2" i="34"/>
  <c r="AVY2" i="34"/>
  <c r="L15" i="12"/>
  <c r="AZJ2" i="34"/>
  <c r="AWY2" i="34"/>
  <c r="Y15" i="12"/>
  <c r="AYR2" i="34"/>
  <c r="AWG2" i="34"/>
  <c r="P15" i="12"/>
  <c r="AYT2" i="34"/>
  <c r="AWI2" i="34"/>
  <c r="Q15" i="12"/>
  <c r="QY2" i="34"/>
  <c r="TJ2" i="34"/>
  <c r="L16" i="22"/>
  <c r="SA2" i="34"/>
  <c r="UL2" i="34"/>
  <c r="Z16" i="22"/>
  <c r="AZP2" i="34"/>
  <c r="AXE2" i="34"/>
  <c r="AB15" i="12"/>
  <c r="ANG2" i="34"/>
  <c r="APR2" i="34"/>
  <c r="W15" i="1"/>
  <c r="BOF2" i="34"/>
  <c r="AF21" i="30"/>
  <c r="BOE2" i="34" s="1"/>
  <c r="BLU2" i="34"/>
  <c r="AQB2" i="34"/>
  <c r="ANQ2" i="34"/>
  <c r="AB15" i="1"/>
  <c r="CAP2" i="34"/>
  <c r="BYE2" i="34"/>
  <c r="G20" i="29"/>
  <c r="CAO2" i="34" s="1"/>
  <c r="AYV2" i="34"/>
  <c r="AWK2" i="34"/>
  <c r="R15" i="12"/>
  <c r="U21" i="30"/>
  <c r="BNI2" i="34" s="1"/>
  <c r="FQ2" i="34"/>
  <c r="IB2" i="34"/>
  <c r="T16" i="20"/>
  <c r="CAJ2" i="34"/>
  <c r="CCL2" i="34"/>
  <c r="CAA2" i="34"/>
  <c r="AE20" i="29"/>
  <c r="CCK2" i="34" s="1"/>
  <c r="M15" i="12"/>
  <c r="AWA2" i="34"/>
  <c r="AYL2" i="34"/>
  <c r="FU2" i="34"/>
  <c r="IF2" i="34"/>
  <c r="V16" i="20"/>
  <c r="EG2" i="34"/>
  <c r="GR2" i="34"/>
  <c r="B16" i="20"/>
  <c r="BMT2" i="34"/>
  <c r="AFK2" i="34"/>
  <c r="AHV2" i="34"/>
  <c r="N20" i="23"/>
  <c r="AHU2" i="34" s="1"/>
  <c r="RG2" i="34"/>
  <c r="TR2" i="34"/>
  <c r="P16" i="22"/>
  <c r="RO2" i="34"/>
  <c r="TZ2" i="34"/>
  <c r="T16" i="22"/>
  <c r="BMZ2" i="34"/>
  <c r="BKO2" i="34"/>
  <c r="P21" i="30"/>
  <c r="BMY2" i="34" s="1"/>
  <c r="RQ2" i="34"/>
  <c r="UB2" i="34"/>
  <c r="U16" i="22"/>
  <c r="GT2" i="34"/>
  <c r="EI2" i="34"/>
  <c r="C16" i="20"/>
  <c r="UJ2" i="34"/>
  <c r="RY2" i="34"/>
  <c r="Y16" i="22"/>
  <c r="CBD2" i="34"/>
  <c r="BYS2" i="34"/>
  <c r="N20" i="29"/>
  <c r="CBC2" i="34" s="1"/>
  <c r="AHF2" i="34"/>
  <c r="AEU2" i="34"/>
  <c r="F20" i="23"/>
  <c r="AHE2" i="34" s="1"/>
  <c r="AB20" i="29"/>
  <c r="CCE2" i="34" s="1"/>
  <c r="AGU2" i="34"/>
  <c r="AJF2" i="34"/>
  <c r="AF20" i="23"/>
  <c r="AJE2" i="34" s="1"/>
  <c r="CCH2" i="34"/>
  <c r="AMI2" i="34"/>
  <c r="AOT2" i="34"/>
  <c r="K15" i="1"/>
  <c r="R21" i="30"/>
  <c r="BNC2" i="34" s="1"/>
  <c r="T20" i="29"/>
  <c r="CBO2" i="34" s="1"/>
  <c r="AXX2" i="34"/>
  <c r="F15" i="12"/>
  <c r="AVM2" i="34"/>
  <c r="HV2" i="34"/>
  <c r="FK2" i="34"/>
  <c r="Q16" i="20"/>
  <c r="M20" i="29"/>
  <c r="CBA2" i="34" s="1"/>
  <c r="QO2" i="34"/>
  <c r="SZ2" i="34"/>
  <c r="G16" i="22"/>
  <c r="BNB2" i="34"/>
  <c r="BKQ2" i="34"/>
  <c r="Q21" i="30"/>
  <c r="BNA2" i="34" s="1"/>
  <c r="BYK2" i="34"/>
  <c r="CAV2" i="34"/>
  <c r="J20" i="29"/>
  <c r="CAU2" i="34" s="1"/>
  <c r="AMA2" i="34"/>
  <c r="AOL2" i="34"/>
  <c r="G15" i="1"/>
  <c r="AXT2" i="34"/>
  <c r="AVI2" i="34"/>
  <c r="D15" i="12"/>
  <c r="AOR2" i="34"/>
  <c r="AMG2" i="34"/>
  <c r="J15" i="1"/>
  <c r="AMQ2" i="34"/>
  <c r="APB2" i="34"/>
  <c r="O15" i="1"/>
  <c r="X15" i="1"/>
  <c r="ANI2" i="34"/>
  <c r="APT2" i="34"/>
  <c r="UT2" i="34"/>
  <c r="SI2" i="34"/>
  <c r="AD16" i="22"/>
  <c r="ALS2" i="34"/>
  <c r="AOD2" i="34"/>
  <c r="C15" i="1"/>
  <c r="D20" i="29"/>
  <c r="CAI2" i="34" s="1"/>
  <c r="FE2" i="34"/>
  <c r="HP2" i="34"/>
  <c r="N16" i="20"/>
  <c r="SE2" i="34"/>
  <c r="UP2" i="34"/>
  <c r="AB16" i="22"/>
  <c r="BNX2" i="34"/>
  <c r="BMD2" i="34"/>
  <c r="RM2" i="34"/>
  <c r="TX2" i="34"/>
  <c r="S16" i="22"/>
  <c r="CAX2" i="34"/>
  <c r="APH2" i="34"/>
  <c r="AMW2" i="34"/>
  <c r="R15" i="1"/>
  <c r="S20" i="29"/>
  <c r="CBM2" i="34" s="1"/>
  <c r="BJQ2" i="34"/>
  <c r="D21" i="30"/>
  <c r="BMA2" i="34" s="1"/>
  <c r="BMB2" i="34"/>
  <c r="SP2" i="34"/>
  <c r="QE2" i="34"/>
  <c r="B16" i="22"/>
  <c r="CBH2" i="34"/>
  <c r="BML2" i="34"/>
  <c r="BKA2" i="34"/>
  <c r="I21" i="30"/>
  <c r="BMK2" i="34" s="1"/>
  <c r="UR2" i="34"/>
  <c r="SG2" i="34"/>
  <c r="AC16" i="22"/>
  <c r="EK2" i="34"/>
  <c r="GV2" i="34"/>
  <c r="D16" i="20"/>
  <c r="QQ2" i="34"/>
  <c r="TB2" i="34"/>
  <c r="H16" i="22"/>
  <c r="RU2" i="34"/>
  <c r="UF2" i="34"/>
  <c r="W16" i="22"/>
  <c r="AVG2" i="34"/>
  <c r="C15" i="12"/>
  <c r="AXR2" i="34"/>
  <c r="TV2" i="34"/>
  <c r="RK2" i="34"/>
  <c r="R16" i="22"/>
  <c r="AOB2" i="34"/>
  <c r="ALQ2" i="34"/>
  <c r="B15" i="1"/>
  <c r="TD2" i="34"/>
  <c r="QS2" i="34"/>
  <c r="I16" i="22"/>
  <c r="AXK2" i="34"/>
  <c r="AE15" i="12"/>
  <c r="AZV2" i="34"/>
  <c r="AWE2" i="34"/>
  <c r="AYP2" i="34"/>
  <c r="O15" i="12"/>
  <c r="AQF2" i="34"/>
  <c r="ANU2" i="34"/>
  <c r="AD15" i="1"/>
  <c r="APP2" i="34"/>
  <c r="ANE2" i="34"/>
  <c r="V15" i="1"/>
  <c r="AFI2" i="34"/>
  <c r="AHT2" i="34"/>
  <c r="M20" i="23"/>
  <c r="AHS2" i="34" s="1"/>
  <c r="L20" i="23"/>
  <c r="AHQ2" i="34" s="1"/>
  <c r="AHP2" i="34"/>
  <c r="AHR2" i="34"/>
  <c r="K20" i="23"/>
  <c r="AHO2" i="34" s="1"/>
  <c r="J20" i="23"/>
  <c r="AHM2" i="34" s="1"/>
  <c r="AHN2" i="34"/>
  <c r="F20" i="29"/>
  <c r="CAM2" i="34" s="1"/>
  <c r="CAN2" i="34"/>
  <c r="BYC2" i="34"/>
  <c r="AC15" i="12"/>
  <c r="AXG2" i="34"/>
  <c r="AZR2" i="34"/>
  <c r="TL2" i="34"/>
  <c r="RA2" i="34"/>
  <c r="M16" i="22"/>
  <c r="QI2" i="34"/>
  <c r="ST2" i="34"/>
  <c r="D16" i="22"/>
  <c r="U15" i="12"/>
  <c r="AWQ2" i="34"/>
  <c r="AZB2" i="34"/>
  <c r="QK2" i="34"/>
  <c r="SV2" i="34"/>
  <c r="E16" i="22"/>
  <c r="HN2" i="34"/>
  <c r="FC2" i="34"/>
  <c r="M16" i="20"/>
  <c r="IP2" i="34"/>
  <c r="GE2" i="34"/>
  <c r="AA16" i="20"/>
  <c r="AOH2" i="34"/>
  <c r="ALW2" i="34"/>
  <c r="E15" i="1"/>
  <c r="BKM2" i="34"/>
  <c r="BMX2" i="34"/>
  <c r="O21" i="30"/>
  <c r="BMW2" i="34" s="1"/>
  <c r="N21" i="30"/>
  <c r="BMU2" i="34" s="1"/>
  <c r="BMV2" i="34"/>
  <c r="BKW2" i="34"/>
  <c r="BNH2" i="34"/>
  <c r="T21" i="30"/>
  <c r="BNG2" i="34" s="1"/>
  <c r="CAH2" i="34"/>
  <c r="AZD2" i="34"/>
  <c r="AWS2" i="34"/>
  <c r="V15" i="12"/>
  <c r="AOP2" i="34"/>
  <c r="AME2" i="34"/>
  <c r="I15" i="1"/>
  <c r="AMY2" i="34"/>
  <c r="APJ2" i="34"/>
  <c r="S15" i="1"/>
  <c r="B20" i="29"/>
  <c r="CAE2" i="34" s="1"/>
  <c r="CAF2" i="34"/>
  <c r="BXU2" i="34"/>
  <c r="AA21" i="30"/>
  <c r="BNU2" i="34" s="1"/>
  <c r="BLK2" i="34"/>
  <c r="BNV2" i="34"/>
  <c r="BNT2" i="34"/>
  <c r="HR2" i="34"/>
  <c r="FG2" i="34"/>
  <c r="O16" i="20"/>
  <c r="AFY2" i="34"/>
  <c r="AIJ2" i="34"/>
  <c r="U20" i="23"/>
  <c r="AII2" i="34" s="1"/>
  <c r="T20" i="23"/>
  <c r="AIG2" i="34" s="1"/>
  <c r="AIF2" i="34"/>
  <c r="AIH2" i="34"/>
  <c r="S20" i="23"/>
  <c r="AIE2" i="34" s="1"/>
  <c r="AID2" i="34"/>
  <c r="R20" i="23"/>
  <c r="AIC2" i="34" s="1"/>
  <c r="AE20" i="23"/>
  <c r="AJC2" i="34" s="1"/>
  <c r="CBP2" i="34"/>
  <c r="AOX2" i="34"/>
  <c r="AMM2" i="34"/>
  <c r="M15" i="1"/>
  <c r="AWM2" i="34"/>
  <c r="S15" i="12"/>
  <c r="AYX2" i="34"/>
  <c r="GX2" i="34"/>
  <c r="EM2" i="34"/>
  <c r="E16" i="20"/>
  <c r="QM2" i="34"/>
  <c r="SX2" i="34"/>
  <c r="F16" i="22"/>
  <c r="C21" i="30"/>
  <c r="BLY2" i="34" s="1"/>
  <c r="BLZ2" i="34"/>
  <c r="BJO2" i="34"/>
  <c r="BLX2" i="34"/>
  <c r="B21" i="30"/>
  <c r="BLW2" i="34" s="1"/>
  <c r="CBB2" i="34"/>
  <c r="HZ2" i="34"/>
  <c r="FO2" i="34"/>
  <c r="S16" i="20"/>
  <c r="APL2" i="34"/>
  <c r="T15" i="1"/>
  <c r="ANA2" i="34"/>
  <c r="SK2" i="34"/>
  <c r="UV2" i="34"/>
  <c r="AE16" i="22"/>
  <c r="QG2" i="34"/>
  <c r="SR2" i="34"/>
  <c r="C16" i="22"/>
  <c r="AFO2" i="34"/>
  <c r="P20" i="23"/>
  <c r="AHY2" i="34" s="1"/>
  <c r="AHZ2" i="34"/>
  <c r="O20" i="23"/>
  <c r="AHW2" i="34" s="1"/>
  <c r="AHX2" i="34"/>
  <c r="S21" i="30"/>
  <c r="BNE2" i="34" s="1"/>
  <c r="BKU2" i="34"/>
  <c r="BNF2" i="34"/>
  <c r="HJ2" i="34"/>
  <c r="EY2" i="34"/>
  <c r="K16" i="20"/>
  <c r="AXC2" i="34"/>
  <c r="AZN2" i="34"/>
  <c r="AA15" i="12"/>
  <c r="RE2" i="34"/>
  <c r="TP2" i="34"/>
  <c r="O16" i="22"/>
  <c r="AYB2" i="34"/>
  <c r="AVQ2" i="34"/>
  <c r="H15" i="12"/>
  <c r="AZT2" i="34"/>
  <c r="AXI2" i="34"/>
  <c r="AD15" i="12"/>
  <c r="RW2" i="34"/>
  <c r="UH2" i="34"/>
  <c r="X16" i="22"/>
  <c r="CCF2" i="34"/>
  <c r="A5" i="4"/>
  <c r="GS2" i="34" l="1"/>
  <c r="JD2" i="34"/>
  <c r="C20" i="20"/>
  <c r="JC2" i="34" s="1"/>
  <c r="AD19" i="12"/>
  <c r="BCC2" i="34" s="1"/>
  <c r="AZS2" i="34"/>
  <c r="BCD2" i="34"/>
  <c r="HY2" i="34"/>
  <c r="KJ2" i="34"/>
  <c r="S20" i="20"/>
  <c r="KI2" i="34" s="1"/>
  <c r="AYW2" i="34"/>
  <c r="BBH2" i="34"/>
  <c r="S19" i="12"/>
  <c r="BBG2" i="34" s="1"/>
  <c r="HQ2" i="34"/>
  <c r="KB2" i="34"/>
  <c r="O20" i="20"/>
  <c r="KA2" i="34" s="1"/>
  <c r="APO2" i="34"/>
  <c r="ARZ2" i="34"/>
  <c r="V19" i="1"/>
  <c r="ARY2" i="34" s="1"/>
  <c r="UZ2" i="34"/>
  <c r="SO2" i="34"/>
  <c r="B20" i="22"/>
  <c r="UY2" i="34" s="1"/>
  <c r="TY2" i="34"/>
  <c r="WJ2" i="34"/>
  <c r="T20" i="22"/>
  <c r="WI2" i="34" s="1"/>
  <c r="TI2" i="34"/>
  <c r="VT2" i="34"/>
  <c r="L20" i="22"/>
  <c r="VS2" i="34" s="1"/>
  <c r="BAR2" i="34"/>
  <c r="AYG2" i="34"/>
  <c r="K19" i="12"/>
  <c r="BAQ2" i="34" s="1"/>
  <c r="AZZ2" i="34"/>
  <c r="AXO2" i="34"/>
  <c r="B19" i="12"/>
  <c r="AQT2" i="34"/>
  <c r="AOI2" i="34"/>
  <c r="F19" i="1"/>
  <c r="AQS2" i="34" s="1"/>
  <c r="UC2" i="34"/>
  <c r="WN2" i="34"/>
  <c r="V20" i="22"/>
  <c r="WM2" i="34" s="1"/>
  <c r="AOE2" i="34"/>
  <c r="AQP2" i="34"/>
  <c r="D19" i="1"/>
  <c r="AQO2" i="34" s="1"/>
  <c r="BAN2" i="34"/>
  <c r="AYC2" i="34"/>
  <c r="I19" i="12"/>
  <c r="BAM2" i="34" s="1"/>
  <c r="BBX2" i="34"/>
  <c r="AZM2" i="34"/>
  <c r="AA19" i="12"/>
  <c r="BBW2" i="34" s="1"/>
  <c r="SW2" i="34"/>
  <c r="VH2" i="34"/>
  <c r="F20" i="22"/>
  <c r="VG2" i="34" s="1"/>
  <c r="UQ2" i="34"/>
  <c r="XB2" i="34"/>
  <c r="AC20" i="22"/>
  <c r="XA2" i="34" s="1"/>
  <c r="AQV2" i="34"/>
  <c r="AOK2" i="34"/>
  <c r="G19" i="1"/>
  <c r="AQU2" i="34" s="1"/>
  <c r="AQA2" i="34"/>
  <c r="ASL2" i="34"/>
  <c r="AB19" i="1"/>
  <c r="ASK2" i="34" s="1"/>
  <c r="AZI2" i="34"/>
  <c r="BBT2" i="34"/>
  <c r="Y19" i="12"/>
  <c r="BBS2" i="34" s="1"/>
  <c r="BBP2" i="34"/>
  <c r="W19" i="12"/>
  <c r="BBO2" i="34" s="1"/>
  <c r="AZE2" i="34"/>
  <c r="VP2" i="34"/>
  <c r="TE2" i="34"/>
  <c r="J20" i="22"/>
  <c r="VO2" i="34" s="1"/>
  <c r="AOY2" i="34"/>
  <c r="ARJ2" i="34"/>
  <c r="N19" i="1"/>
  <c r="ARI2" i="34" s="1"/>
  <c r="APY2" i="34"/>
  <c r="ASJ2" i="34"/>
  <c r="AA19" i="1"/>
  <c r="ASI2" i="34" s="1"/>
  <c r="AYY2" i="34"/>
  <c r="BBJ2" i="34"/>
  <c r="T19" i="12"/>
  <c r="BBI2" i="34" s="1"/>
  <c r="ASF2" i="34"/>
  <c r="Y19" i="1"/>
  <c r="ASE2" i="34" s="1"/>
  <c r="APU2" i="34"/>
  <c r="AQN2" i="34"/>
  <c r="AOC2" i="34"/>
  <c r="C19" i="1"/>
  <c r="AQM2" i="34" s="1"/>
  <c r="ASB2" i="34"/>
  <c r="APQ2" i="34"/>
  <c r="W19" i="1"/>
  <c r="ASA2" i="34" s="1"/>
  <c r="IG2" i="34"/>
  <c r="KR2" i="34"/>
  <c r="W20" i="20"/>
  <c r="KQ2" i="34" s="1"/>
  <c r="IS2" i="34"/>
  <c r="LD2" i="34"/>
  <c r="AC20" i="20"/>
  <c r="LC2" i="34" s="1"/>
  <c r="UM2" i="34"/>
  <c r="WX2" i="34"/>
  <c r="AA20" i="22"/>
  <c r="WW2" i="34" s="1"/>
  <c r="BAF2" i="34"/>
  <c r="AXU2" i="34"/>
  <c r="E19" i="12"/>
  <c r="BAE2" i="34" s="1"/>
  <c r="WP2" i="34"/>
  <c r="UE2" i="34"/>
  <c r="W20" i="22"/>
  <c r="WO2" i="34" s="1"/>
  <c r="ARL2" i="34"/>
  <c r="APA2" i="34"/>
  <c r="O19" i="1"/>
  <c r="ARK2" i="34" s="1"/>
  <c r="UU2" i="34"/>
  <c r="XF2" i="34"/>
  <c r="AE20" i="22"/>
  <c r="XE2" i="34" s="1"/>
  <c r="AZA2" i="34"/>
  <c r="U19" i="12"/>
  <c r="BBK2" i="34" s="1"/>
  <c r="BBL2" i="34"/>
  <c r="TU2" i="34"/>
  <c r="R20" i="22"/>
  <c r="WE2" i="34" s="1"/>
  <c r="WF2" i="34"/>
  <c r="UA2" i="34"/>
  <c r="WL2" i="34"/>
  <c r="U20" i="22"/>
  <c r="WK2" i="34" s="1"/>
  <c r="JB2" i="34"/>
  <c r="GQ2" i="34"/>
  <c r="B20" i="20"/>
  <c r="JA2" i="34" s="1"/>
  <c r="APW2" i="34"/>
  <c r="ASH2" i="34"/>
  <c r="Z19" i="1"/>
  <c r="ASG2" i="34" s="1"/>
  <c r="AQI2" i="34"/>
  <c r="AF19" i="1"/>
  <c r="ASS2" i="34" s="1"/>
  <c r="AST2" i="34"/>
  <c r="HW2" i="34"/>
  <c r="KH2" i="34"/>
  <c r="R20" i="20"/>
  <c r="KG2" i="34" s="1"/>
  <c r="AG3" i="4"/>
  <c r="AZQ2" i="34"/>
  <c r="AC19" i="12"/>
  <c r="BCA2" i="34" s="1"/>
  <c r="BCB2" i="34"/>
  <c r="TA2" i="34"/>
  <c r="VL2" i="34"/>
  <c r="H20" i="22"/>
  <c r="VK2" i="34" s="1"/>
  <c r="WH2" i="34"/>
  <c r="TW2" i="34"/>
  <c r="S20" i="22"/>
  <c r="WG2" i="34" s="1"/>
  <c r="AYU2" i="34"/>
  <c r="BBF2" i="34"/>
  <c r="R19" i="12"/>
  <c r="BBE2" i="34" s="1"/>
  <c r="IM2" i="34"/>
  <c r="KX2" i="34"/>
  <c r="Z20" i="20"/>
  <c r="KW2" i="34" s="1"/>
  <c r="HI2" i="34"/>
  <c r="JT2" i="34"/>
  <c r="K20" i="20"/>
  <c r="JS2" i="34" s="1"/>
  <c r="GW2" i="34"/>
  <c r="JH2" i="34"/>
  <c r="E20" i="20"/>
  <c r="JG2" i="34" s="1"/>
  <c r="AQR2" i="34"/>
  <c r="E19" i="1"/>
  <c r="AQQ2" i="34" s="1"/>
  <c r="AOG2" i="34"/>
  <c r="TC2" i="34"/>
  <c r="VN2" i="34"/>
  <c r="I20" i="22"/>
  <c r="VM2" i="34" s="1"/>
  <c r="UI2" i="34"/>
  <c r="WT2" i="34"/>
  <c r="Y20" i="22"/>
  <c r="WS2" i="34" s="1"/>
  <c r="AYI2" i="34"/>
  <c r="BAT2" i="34"/>
  <c r="L19" i="12"/>
  <c r="BAS2" i="34" s="1"/>
  <c r="UW2" i="34"/>
  <c r="XH2" i="34"/>
  <c r="AF20" i="22"/>
  <c r="XG2" i="34" s="1"/>
  <c r="ASR2" i="34"/>
  <c r="AQG2" i="34"/>
  <c r="AE19" i="1"/>
  <c r="ASQ2" i="34" s="1"/>
  <c r="ASN2" i="34"/>
  <c r="AQC2" i="34"/>
  <c r="AC19" i="1"/>
  <c r="ASM2" i="34" s="1"/>
  <c r="KV2" i="34"/>
  <c r="IK2" i="34"/>
  <c r="Y20" i="20"/>
  <c r="KU2" i="34" s="1"/>
  <c r="BAJ2" i="34"/>
  <c r="G19" i="12"/>
  <c r="BAI2" i="34" s="1"/>
  <c r="AXY2" i="34"/>
  <c r="U19" i="1"/>
  <c r="ARW2" i="34" s="1"/>
  <c r="APM2" i="34"/>
  <c r="ARX2" i="34"/>
  <c r="VB2" i="34"/>
  <c r="SQ2" i="34"/>
  <c r="C20" i="22"/>
  <c r="VA2" i="34" s="1"/>
  <c r="APS2" i="34"/>
  <c r="ASD2" i="34"/>
  <c r="X19" i="1"/>
  <c r="ASC2" i="34" s="1"/>
  <c r="LF2" i="34"/>
  <c r="AD20" i="20"/>
  <c r="LE2" i="34" s="1"/>
  <c r="IU2" i="34"/>
  <c r="BBN2" i="34"/>
  <c r="V19" i="12"/>
  <c r="BBM2" i="34" s="1"/>
  <c r="AZC2" i="34"/>
  <c r="UO2" i="34"/>
  <c r="WZ2" i="34"/>
  <c r="AB20" i="22"/>
  <c r="WY2" i="34" s="1"/>
  <c r="ARH2" i="34"/>
  <c r="AOW2" i="34"/>
  <c r="M19" i="1"/>
  <c r="ARG2" i="34" s="1"/>
  <c r="API2" i="34"/>
  <c r="ART2" i="34"/>
  <c r="S19" i="1"/>
  <c r="ARS2" i="34" s="1"/>
  <c r="VJ2" i="34"/>
  <c r="SY2" i="34"/>
  <c r="G20" i="22"/>
  <c r="VI2" i="34" s="1"/>
  <c r="BAV2" i="34"/>
  <c r="AYK2" i="34"/>
  <c r="M19" i="12"/>
  <c r="BAU2" i="34" s="1"/>
  <c r="AZO2" i="34"/>
  <c r="BBZ2" i="34"/>
  <c r="AB19" i="12"/>
  <c r="BBY2" i="34" s="1"/>
  <c r="II2" i="34"/>
  <c r="KT2" i="34"/>
  <c r="X20" i="20"/>
  <c r="KS2" i="34" s="1"/>
  <c r="AOU2" i="34"/>
  <c r="ARF2" i="34"/>
  <c r="L19" i="1"/>
  <c r="ARE2" i="34" s="1"/>
  <c r="JP2" i="34"/>
  <c r="HE2" i="34"/>
  <c r="I20" i="20"/>
  <c r="JO2" i="34" s="1"/>
  <c r="UG2" i="34"/>
  <c r="WR2" i="34"/>
  <c r="X20" i="22"/>
  <c r="WQ2" i="34" s="1"/>
  <c r="I19" i="1"/>
  <c r="AQY2" i="34" s="1"/>
  <c r="AQZ2" i="34"/>
  <c r="AOO2" i="34"/>
  <c r="SU2" i="34"/>
  <c r="VF2" i="34"/>
  <c r="E20" i="22"/>
  <c r="VE2" i="34" s="1"/>
  <c r="IE2" i="34"/>
  <c r="KP2" i="34"/>
  <c r="V20" i="20"/>
  <c r="KO2" i="34" s="1"/>
  <c r="WV2" i="34"/>
  <c r="UK2" i="34"/>
  <c r="Z20" i="22"/>
  <c r="WU2" i="34" s="1"/>
  <c r="HG2" i="34"/>
  <c r="JR2" i="34"/>
  <c r="J20" i="20"/>
  <c r="JQ2" i="34" s="1"/>
  <c r="HS2" i="34"/>
  <c r="KD2" i="34"/>
  <c r="P20" i="20"/>
  <c r="KC2" i="34" s="1"/>
  <c r="IW2" i="34"/>
  <c r="LH2" i="34"/>
  <c r="AE20" i="20"/>
  <c r="LG2" i="34" s="1"/>
  <c r="BAP2" i="34"/>
  <c r="AYE2" i="34"/>
  <c r="J19" i="12"/>
  <c r="BAO2" i="34" s="1"/>
  <c r="TG2" i="34"/>
  <c r="VR2" i="34"/>
  <c r="K20" i="22"/>
  <c r="VQ2" i="34" s="1"/>
  <c r="KN2" i="34"/>
  <c r="IC2" i="34"/>
  <c r="U20" i="20"/>
  <c r="KM2" i="34" s="1"/>
  <c r="IO2" i="34"/>
  <c r="KZ2" i="34"/>
  <c r="AA20" i="20"/>
  <c r="KY2" i="34" s="1"/>
  <c r="AQL2" i="34"/>
  <c r="AOA2" i="34"/>
  <c r="B19" i="1"/>
  <c r="APG2" i="34"/>
  <c r="ARR2" i="34"/>
  <c r="R19" i="1"/>
  <c r="ARQ2" i="34" s="1"/>
  <c r="IA2" i="34"/>
  <c r="KL2" i="34"/>
  <c r="T20" i="20"/>
  <c r="KK2" i="34" s="1"/>
  <c r="ARP2" i="34"/>
  <c r="Q19" i="1"/>
  <c r="ARO2" i="34" s="1"/>
  <c r="APE2" i="34"/>
  <c r="AOM2" i="34"/>
  <c r="AQX2" i="34"/>
  <c r="H19" i="1"/>
  <c r="AQW2" i="34" s="1"/>
  <c r="HA2" i="34"/>
  <c r="JL2" i="34"/>
  <c r="G20" i="20"/>
  <c r="JK2" i="34" s="1"/>
  <c r="HM2" i="34"/>
  <c r="JX2" i="34"/>
  <c r="M20" i="20"/>
  <c r="JW2" i="34" s="1"/>
  <c r="AZU2" i="34"/>
  <c r="BCF2" i="34"/>
  <c r="AE19" i="12"/>
  <c r="BCE2" i="34" s="1"/>
  <c r="US2" i="34"/>
  <c r="XD2" i="34"/>
  <c r="AD20" i="22"/>
  <c r="XC2" i="34" s="1"/>
  <c r="F19" i="12"/>
  <c r="BAG2" i="34" s="1"/>
  <c r="AXW2" i="34"/>
  <c r="BAH2" i="34"/>
  <c r="IY2" i="34"/>
  <c r="LJ2" i="34"/>
  <c r="AF20" i="20"/>
  <c r="LI2" i="34" s="1"/>
  <c r="IQ2" i="34"/>
  <c r="LB2" i="34"/>
  <c r="AB20" i="20"/>
  <c r="LA2" i="34" s="1"/>
  <c r="AYA2" i="34"/>
  <c r="H19" i="12"/>
  <c r="BAK2" i="34" s="1"/>
  <c r="BAL2" i="34"/>
  <c r="SS2" i="34"/>
  <c r="VD2" i="34"/>
  <c r="D20" i="22"/>
  <c r="VC2" i="34" s="1"/>
  <c r="AQE2" i="34"/>
  <c r="ASP2" i="34"/>
  <c r="AD19" i="1"/>
  <c r="ASO2" i="34" s="1"/>
  <c r="JZ2" i="34"/>
  <c r="HO2" i="34"/>
  <c r="N20" i="20"/>
  <c r="JY2" i="34" s="1"/>
  <c r="ARB2" i="34"/>
  <c r="AOQ2" i="34"/>
  <c r="J19" i="1"/>
  <c r="ARA2" i="34" s="1"/>
  <c r="TQ2" i="34"/>
  <c r="WB2" i="34"/>
  <c r="P20" i="22"/>
  <c r="WA2" i="34" s="1"/>
  <c r="AYS2" i="34"/>
  <c r="BBD2" i="34"/>
  <c r="Q19" i="12"/>
  <c r="BBC2" i="34" s="1"/>
  <c r="N19" i="12"/>
  <c r="BAW2" i="34" s="1"/>
  <c r="AYM2" i="34"/>
  <c r="BAX2" i="34"/>
  <c r="JN2" i="34"/>
  <c r="HC2" i="34"/>
  <c r="H20" i="20"/>
  <c r="JM2" i="34" s="1"/>
  <c r="JJ2" i="34"/>
  <c r="GY2" i="34"/>
  <c r="F20" i="20"/>
  <c r="JI2" i="34" s="1"/>
  <c r="VX2" i="34"/>
  <c r="TM2" i="34"/>
  <c r="N20" i="22"/>
  <c r="VW2" i="34" s="1"/>
  <c r="VZ2" i="34"/>
  <c r="TO2" i="34"/>
  <c r="O20" i="22"/>
  <c r="VY2" i="34" s="1"/>
  <c r="APK2" i="34"/>
  <c r="ARV2" i="34"/>
  <c r="T19" i="1"/>
  <c r="ARU2" i="34" s="1"/>
  <c r="TK2" i="34"/>
  <c r="VV2" i="34"/>
  <c r="M20" i="22"/>
  <c r="VU2" i="34" s="1"/>
  <c r="O19" i="12"/>
  <c r="BAY2" i="34" s="1"/>
  <c r="AYO2" i="34"/>
  <c r="BAZ2" i="34"/>
  <c r="BAB2" i="34"/>
  <c r="AXQ2" i="34"/>
  <c r="C19" i="12"/>
  <c r="BAA2" i="34" s="1"/>
  <c r="JF2" i="34"/>
  <c r="GU2" i="34"/>
  <c r="D20" i="20"/>
  <c r="JE2" i="34" s="1"/>
  <c r="AXS2" i="34"/>
  <c r="BAD2" i="34"/>
  <c r="D19" i="12"/>
  <c r="BAC2" i="34" s="1"/>
  <c r="HU2" i="34"/>
  <c r="KF2" i="34"/>
  <c r="Q20" i="20"/>
  <c r="KE2" i="34" s="1"/>
  <c r="ARD2" i="34"/>
  <c r="AOS2" i="34"/>
  <c r="K19" i="1"/>
  <c r="ARC2" i="34" s="1"/>
  <c r="AYQ2" i="34"/>
  <c r="BBB2" i="34"/>
  <c r="P19" i="12"/>
  <c r="BBA2" i="34" s="1"/>
  <c r="HK2" i="34"/>
  <c r="JV2" i="34"/>
  <c r="L20" i="20"/>
  <c r="JU2" i="34" s="1"/>
  <c r="AZK2" i="34"/>
  <c r="Z19" i="12"/>
  <c r="BBU2" i="34" s="1"/>
  <c r="BBV2" i="34"/>
  <c r="TS2" i="34"/>
  <c r="WD2" i="34"/>
  <c r="Q20" i="22"/>
  <c r="WC2" i="34" s="1"/>
  <c r="AZW2" i="34"/>
  <c r="BCH2" i="34"/>
  <c r="AF19" i="12"/>
  <c r="BCG2" i="34" s="1"/>
  <c r="AZG2" i="34"/>
  <c r="BBR2" i="34"/>
  <c r="X19" i="12"/>
  <c r="BBQ2" i="34" s="1"/>
  <c r="APC2" i="34"/>
  <c r="ARN2" i="34"/>
  <c r="P19" i="1"/>
  <c r="ARM2" i="34" s="1"/>
  <c r="A3" i="4"/>
  <c r="AG5" i="4"/>
  <c r="C5" i="33" l="1"/>
  <c r="CCO2" i="34" s="1"/>
  <c r="AQK2" i="34"/>
  <c r="CCP2" i="34"/>
  <c r="AZY2" i="34"/>
  <c r="CCR2" i="34"/>
  <c r="D5" i="33"/>
  <c r="CCQ2" i="34" l="1"/>
  <c r="E2" i="32"/>
</calcChain>
</file>

<file path=xl/sharedStrings.xml><?xml version="1.0" encoding="utf-8"?>
<sst xmlns="http://schemas.openxmlformats.org/spreadsheetml/2006/main" count="1439" uniqueCount="276">
  <si>
    <t>Cost/ac</t>
  </si>
  <si>
    <t>acres</t>
  </si>
  <si>
    <t>total production</t>
  </si>
  <si>
    <t>Price</t>
  </si>
  <si>
    <t>Gross</t>
  </si>
  <si>
    <t>Net</t>
  </si>
  <si>
    <t>NPV</t>
  </si>
  <si>
    <t>Total cost</t>
  </si>
  <si>
    <t>Changed yld</t>
  </si>
  <si>
    <t>Base yld</t>
  </si>
  <si>
    <t>Yield distribution</t>
  </si>
  <si>
    <t>SW SF</t>
  </si>
  <si>
    <t>WW SF</t>
  </si>
  <si>
    <t>SW CC</t>
  </si>
  <si>
    <t>WW CC</t>
  </si>
  <si>
    <t>No Change</t>
  </si>
  <si>
    <t>Grad Change</t>
  </si>
  <si>
    <t>p</t>
  </si>
  <si>
    <t>p-1</t>
  </si>
  <si>
    <t>Prob CC</t>
  </si>
  <si>
    <t>Yield Shift</t>
  </si>
  <si>
    <t>Winter Wheat continuous cropping / No climate change</t>
  </si>
  <si>
    <t>Spring Wheat summer fallow / No climate change</t>
  </si>
  <si>
    <t>Spring Wheat continuous cropping / No climate change</t>
  </si>
  <si>
    <t>Spring Wheat continuous cropping / Gradual change</t>
  </si>
  <si>
    <t>Spring Wheat summer fallow / Gradual change</t>
  </si>
  <si>
    <t>Cost/acre</t>
  </si>
  <si>
    <t>Base yield</t>
  </si>
  <si>
    <t>Yield shift</t>
  </si>
  <si>
    <t>Changed yield</t>
  </si>
  <si>
    <t>Crop</t>
  </si>
  <si>
    <t>Winter wheat</t>
  </si>
  <si>
    <t>Place</t>
  </si>
  <si>
    <t>Kidder County</t>
  </si>
  <si>
    <t>sd</t>
  </si>
  <si>
    <t>COV</t>
  </si>
  <si>
    <t>95-11 avg</t>
  </si>
  <si>
    <t>Neg</t>
  </si>
  <si>
    <t>norm</t>
  </si>
  <si>
    <t>Skew</t>
  </si>
  <si>
    <t>Acres</t>
  </si>
  <si>
    <t>Total production</t>
  </si>
  <si>
    <t>Norm</t>
  </si>
  <si>
    <t>Created By Version</t>
  </si>
  <si>
    <t>6.1.1</t>
  </si>
  <si>
    <t>Required Version</t>
  </si>
  <si>
    <t>5.0.0</t>
  </si>
  <si>
    <t>Recommended Version</t>
  </si>
  <si>
    <t>Modified By Version</t>
  </si>
  <si>
    <t>Count</t>
  </si>
  <si>
    <t>GUID</t>
  </si>
  <si>
    <t>Name</t>
  </si>
  <si>
    <t>Range</t>
  </si>
  <si>
    <t>CRC</t>
  </si>
  <si>
    <t>Options</t>
  </si>
  <si>
    <t>Comp. Graph Serialization</t>
  </si>
  <si>
    <t>PP Graph Serialization</t>
  </si>
  <si>
    <t>QQ Graph Serialization</t>
  </si>
  <si>
    <t>Unsued</t>
  </si>
  <si>
    <t>Fixed Params</t>
  </si>
  <si>
    <t>Bootstrap Options</t>
  </si>
  <si>
    <t>BootstrapParamGraphSerialization</t>
  </si>
  <si>
    <t>BatchFit Options</t>
  </si>
  <si>
    <t>BootstrapGOFGraphSerialization</t>
  </si>
  <si>
    <t>FitSelector</t>
  </si>
  <si>
    <t>FIT_F02EB_2C84C</t>
  </si>
  <si>
    <t>F1	0	0	-1E+300	 1E+300	 1	0	0	 0	0	 1	23	BetaGeneral	Binomial	Expon	ExtValue	ExtValueMin	Gamma	Geomet	IntUniform	InvGauss	Laplace	Levy	Logistic	LogLogistic	Lognorm	NegBin	Normal	Pareto	Pearson5	Pearson6	Poisson	Triang	Uniform	Weibull	0	1	-1	1	 0	 1	0	0	0</t>
  </si>
  <si>
    <t xml:space="preserve"> 0	 8								</t>
  </si>
  <si>
    <t>F1	0	 1000	 .95</t>
  </si>
  <si>
    <t>GF1_rK0qDwEADACtAQwjACYANABxAIUAhgCSAJ4AhwGpAaMBKgD//wAAAAAAAQQAAAAAAAAAAAEYRml0IENvbXBhcmlzb24gZm9yIFdXIENDAR9SaXNrRXh0VmFsdWVNaW4oNDEuMjA2OCw2LjM5ODkpAQEQAAIAAQpTdGF0aXN0aWNzAwEBAP8BAQEBAQABAQEAAgABAQEBAQABAQEAAgAKvQABywAA3wAA9AAACQEAHgEAMwEASAEAXQEAcgEADAAFSW5wdXQAACUBAgASAAtFeHRWYWx1ZU1pbgABLwECABMADFVudXNlZCBDdXJ2ZQACTwECABMADFVudXNlZCBDdXJ2ZQADjAECABMADFVudXNlZCBDdXJ2ZQAETAECABMADFVudXNlZCBDdXJ2ZQAFOQECABMADFVudXNlZCBDdXJ2ZQAGTgECABMADFVudXNlZCBDdXJ2ZQAHIwECABMADFVudXNlZCBDdXJ2ZQAIKQECABMADFVudXNlZCBDdXJ2ZQAJYAECAI8BmQEBAQIBmpmZmZmZqT8AAGZmZmZmZu4/AAAFAAEBAQABAQEA</t>
  </si>
  <si>
    <t>FIT_19DDC_834BD</t>
  </si>
  <si>
    <t>GF1_rK0qDwEADACtAQwjACYANABxAIUAhgCSAJ4AhwGpAaMBKgD//wAAAAAAAQQAAAAAAAAAAAEYRml0IENvbXBhcmlzb24gZm9yIFdXIFNGAR9SaXNrRXh0VmFsdWVNaW4oNDMuNTAwOCw2LjY0NzUpAQEQAAIAAQpTdGF0aXN0aWNzAwEBAP8BAQEBAQABAQEAAgABAQEBAQABAQEAAgAKvQABywAA3wAA9AAACQEAHgEAMwEASAEAXQEAcgEADAAFSW5wdXQAACUBAgASAAtFeHRWYWx1ZU1pbgABLwECABMADFVudXNlZCBDdXJ2ZQACTwECABMADFVudXNlZCBDdXJ2ZQADjAECABMADFVudXNlZCBDdXJ2ZQAETAECABMADFVudXNlZCBDdXJ2ZQAFOQECABMADFVudXNlZCBDdXJ2ZQAGTgECABMADFVudXNlZCBDdXJ2ZQAHIwECABMADFVudXNlZCBDdXJ2ZQAIKQECABMADFVudXNlZCBDdXJ2ZQAJYAECAI8BmQEBAQIBmpmZmZmZqT8AAGZmZmZmZu4/AAAFAAEBAQABAQEA</t>
  </si>
  <si>
    <t>FIT_822EC_B2A83</t>
  </si>
  <si>
    <t>WW CC pos</t>
  </si>
  <si>
    <t>GF1_rK0qDwEADACrAQwjACYANAByAIYAhwCTAJ8AhQGnAaEBKgD//wAAAAAAAQQAAAAAAAAAAAEcRml0IENvbXBhcmlzb24gZm9yIFdXIENDIHBvcwEcUmlza0V4dFZhbHVlKDM0Ljk3MDQsNS40NDA1KQEBEAACAAEKU3RhdGlzdGljcwMBAQD/AQEBAQEAAQEBAAIAAQEBAQEAAQEBAAIACr4AAcwAAN0AAPIAAAcBABwBADEBAEYBAFsBAHABAAwABUlucHV0AAAlAQIADwAIRXh0VmFsdWUAAS8BAgATAAxVbnVzZWQgQ3VydmUAAk8BAgATAAxVbnVzZWQgQ3VydmUAA4wBAgATAAxVbnVzZWQgQ3VydmUABEwBAgATAAxVbnVzZWQgQ3VydmUABTkBAgATAAxVbnVzZWQgQ3VydmUABk4BAgATAAxVbnVzZWQgQ3VydmUAByMBAgATAAxVbnVzZWQgQ3VydmUACCkBAgATAAxVbnVzZWQgQ3VydmUACWABAgCNAZcBAQECAZqZmZmZmak/AABmZmZmZmbuPwAABQABAQEAAQEBAA==</t>
  </si>
  <si>
    <t>FIT_3DD34_1BD47</t>
  </si>
  <si>
    <t>WW SF pos</t>
  </si>
  <si>
    <t>GF1_rK0qDwEADACrAQwjACYANAByAIYAhwCTAJ8AhQGnAaEBKgD//wAAAAAAAQQAAAAAAAAAAAEcRml0IENvbXBhcmlzb24gZm9yIFdXIFNGIHBvcwEcUmlza0V4dFZhbHVlKDM2LjgzODYsNS44ODA3KQEBEAACAAEKU3RhdGlzdGljcwMBAQD/AQEBAQEAAQEBAAIAAQEBAQEAAQEBAAIACr4AAcwAAN0AAPIAAAcBABwBADEBAEYBAFsBAHABAAwABUlucHV0AAAlAQIADwAIRXh0VmFsdWUAAS8BAgATAAxVbnVzZWQgQ3VydmUAAk8BAgATAAxVbnVzZWQgQ3VydmUAA4wBAgATAAxVbnVzZWQgQ3VydmUABEwBAgATAAxVbnVzZWQgQ3VydmUABTkBAgATAAxVbnVzZWQgQ3VydmUABk4BAgATAAxVbnVzZWQgQ3VydmUAByMBAgATAAxVbnVzZWQgQ3VydmUACCkBAgATAAxVbnVzZWQgQ3VydmUACWABAgCNAZcBAQECAZqZmZmZmak/AABmZmZmZmbuPwAABQABAQEAAQEBAA==</t>
  </si>
  <si>
    <t>FIT_7D173_3EEC0</t>
  </si>
  <si>
    <t>WW CC norm</t>
  </si>
  <si>
    <t>GF1_rK0qDwEADACoAQwjACYANABxAIUAhgCSAJ4AggGkAZ4BKgD//wAAAAAAAQQAAAAAAAAAAAEdRml0IENvbXBhcmlzb24gZm9yIFdXIENDIG5vcm0BGlJpc2tOb3JtYWwoMzguMDAwNiw2LjQzODkpAQEQAAIAAQpTdGF0aXN0aWNzAwEBAP8BAQEBAQABAQEAAgABAQEBAQABAQEAAgAKvQABywAA2gAA7wAABAEAGQEALgEAQwEAWAEAbQEADAAFSW5wdXQAACUBAgANAAZOb3JtYWwAAS8BAgATAAxVbnVzZWQgQ3VydmUAAk8BAgATAAxVbnVzZWQgQ3VydmUAA4wBAgATAAxVbnVzZWQgQ3VydmUABEwBAgATAAxVbnVzZWQgQ3VydmUABTkBAgATAAxVbnVzZWQgQ3VydmUABk4BAgATAAxVbnVzZWQgQ3VydmUAByMBAgATAAxVbnVzZWQgQ3VydmUACCkBAgATAAxVbnVzZWQgQ3VydmUACWABAgCKAZQBAQECAZqZmZmZmak/AABmZmZmZmbuPwAABQABAQEAAQEBAA==</t>
  </si>
  <si>
    <t>FIT_7EB23_CFA75</t>
  </si>
  <si>
    <t>WW SF norm</t>
  </si>
  <si>
    <t>GF1_rK0qDwEADACoAQwjACYANABxAIUAhgCSAJ4AggGkAZ4BKgD//wAAAAAAAQQAAAAAAAAAAAEdRml0IENvbXBhcmlzb24gZm9yIFdXIFNGIG5vcm0BGlJpc2tOb3JtYWwoNDAuMTA4NCw2Ljg4MTgpAQEQAAIAAQpTdGF0aXN0aWNzAwEBAP8BAQEBAQABAQEAAgABAQEBAQABAQEAAgAKvQABywAA2gAA7wAABAEAGQEALgEAQwEAWAEAbQEADAAFSW5wdXQAACUBAgANAAZOb3JtYWwAAS8BAgATAAxVbnVzZWQgQ3VydmUAAk8BAgATAAxVbnVzZWQgQ3VydmUAA4wBAgATAAxVbnVzZWQgQ3VydmUABEwBAgATAAxVbnVzZWQgQ3VydmUABTkBAgATAAxVbnVzZWQgQ3VydmUABk4BAgATAAxVbnVzZWQgQ3VydmUAByMBAgATAAxVbnVzZWQgQ3VydmUACCkBAgATAAxVbnVzZWQgQ3VydmUACWABAgCKAZQBAQECAZqZmZmZmak/AABmZmZmZmbuPwAABQABAQEAAQEBAA==</t>
  </si>
  <si>
    <t>GF1_rK0qDwEADAC4AAwjACYASgBTAGcAaAB0AIAAkgC0AK4AKgD//wAAAAAAAQQAAAAAFiQjLCMjMF8pO1tSZWRdKCQjLCMjMCkAAAABA05QVgEAAQEQAAIAAQpTdGF0aXN0aWNzAwEBAP8BAQEBAQABAQEAAgABAQEBAQABAQEAAgABhAACCgADTlBWAAAvAQIAAgCaAKQAAQECAZqZmZmZmak/AABmZmZmZmbuPwAABQABAQEAAQEBAA==</t>
  </si>
  <si>
    <t>&gt;75%</t>
  </si>
  <si>
    <t>&lt;25%</t>
  </si>
  <si>
    <t>&gt;90%</t>
  </si>
  <si>
    <t>GF1_rK0qDwEADADOAAwjACYAUABhAHUAdgCCAI4AqADKAMQAKgD//wAAAAAAAQQAAAAAHCQjLCMjMC4wMF8pO1tSZWRdKCQjLCMjMC4wMCkAAAABC0dyb3NzIC8gTmVnAQABARAAAgABClN0YXRpc3RpY3MDAQEA/wEBAQEBAAEBAQACAAEBAQEBAAEBAQACAAGSAAISAAtHcm9zcyAvIE5lZwAALwECAAIAsAC6AAEBAgGamZmZmZmpPwAAZmZmZmZm7j8AAAUAAQEBAAEBAQA=</t>
  </si>
  <si>
    <t>GF1_rK0qDwEADAAHAQwjACYAOwB1AIkAigCWAKIA4QADAf0AKgD//wAAAAAAAQQAAAAAB0dlbmVyYWwAAAABCVdXIENDIG5lZwErQ29tcGFyaXNvbiB3aXRoIEV4dFZhbHVlTWluKDQxLjIwNjgsNi4zOTg5KQEBEAACAAEKU3RhdGlzdGljcwMBAQD/AQEBAQEAAQEBAAIAAQEBAQEAAQEBAAIAAqkAAr0AABAACVdXIENDIG5lZwAALwECAAIAIgAbRXh0VmFsdWVNaW4oNDEuMjA2OCw2LjM5ODkpAQElAQIA6QDzAAEBAgGamZmZmZmpPwAAZmZmZmZm7j8AAAUAAQEBAAEBAQA=</t>
  </si>
  <si>
    <t>GF1_rK0qDwEADAAiAQwjACYAUACNAKEAogCuALoA/AAeARgBKgD//wAAAAAAAQQAAAAAHCQjLCMjMC4wMF8pO1tSZWRdKCQjLCMjMC4wMCkAAAABC1ByaWNlIC8gTmVnASxDb21wYXJpc29uIHdpdGggTm9ybWFsKDQuMiwyLjUsUmlza1NoaWZ0KDApKQEBEAACAAEKU3RhdGlzdGljcwMBAQD/AQEBAQEAAQEBAAIAAQEBAQEAAQEBAAIAAsEAAtcAABIAC1ByaWNlIC8gTmVnAAAvAQIAAgAjABxOb3JtYWwoNC4yLDIuNSxSaXNrU2hpZnQoMCkpAQElAQIABAEOAQEBAgGamZmZmZmpPwAAZmZmZmZm7j8AAAUAAQEBAAEBAQA=</t>
  </si>
  <si>
    <t>WW CCr</t>
  </si>
  <si>
    <t>WW CCnr</t>
  </si>
  <si>
    <t>Gradual Change NPV</t>
  </si>
  <si>
    <t>No Change NPV</t>
  </si>
  <si>
    <t>Spring Wheat (SW)  Continuous Cropping (CC)</t>
  </si>
  <si>
    <t>WW following fallow (F)</t>
  </si>
  <si>
    <t>Spring Wheat</t>
  </si>
  <si>
    <t>Selected ND (plus SD after 1994)</t>
  </si>
  <si>
    <t>WWCC norm</t>
  </si>
  <si>
    <t>WWCC pos</t>
  </si>
  <si>
    <t>WWCC neg</t>
  </si>
  <si>
    <t>Yields (bu/ac)</t>
  </si>
  <si>
    <t>Expected Utilites</t>
  </si>
  <si>
    <t>Winter Wheat continuous cropping / gradual change no recovery due to less winter kill</t>
  </si>
  <si>
    <t>Winter Wheat continuous cropping / grad change w recovery due to less winter kill</t>
  </si>
  <si>
    <t>Base yld (mode)</t>
  </si>
  <si>
    <t>Base yld (mode then Mean)</t>
  </si>
  <si>
    <t>Base yld (Mode then Mean)</t>
  </si>
  <si>
    <t>neg</t>
  </si>
  <si>
    <t>Winter Wheat (WW) CC</t>
  </si>
  <si>
    <t>SW Summer Fallow (SF)</t>
  </si>
  <si>
    <t>WW Diff F/CC</t>
  </si>
  <si>
    <t>Prices (avg. ann. $)</t>
  </si>
  <si>
    <t>WWCC/ no recovery</t>
  </si>
  <si>
    <t>WWCC/ recovery</t>
  </si>
  <si>
    <t>WW Fitted Distrib w/skew</t>
  </si>
  <si>
    <t>WW CC w/recovery</t>
  </si>
  <si>
    <t>WW CC no recovery</t>
  </si>
  <si>
    <t>Simulation year</t>
  </si>
  <si>
    <t>Wheat production costs and returns per planted acre, excluding Government payments, 2011-2012  1/</t>
  </si>
  <si>
    <t xml:space="preserve">                United States</t>
  </si>
  <si>
    <t xml:space="preserve">       Northern Great Plains</t>
  </si>
  <si>
    <t xml:space="preserve">             Prairie Gateway</t>
  </si>
  <si>
    <t xml:space="preserve">                   Item</t>
  </si>
  <si>
    <t>Gross value of production</t>
  </si>
  <si>
    <t xml:space="preserve">  Primary product:  Wheat grain</t>
  </si>
  <si>
    <t xml:space="preserve">  Secondary product:  silage/straw/grazing</t>
  </si>
  <si>
    <t xml:space="preserve">    Total, gross value of production</t>
  </si>
  <si>
    <t>Operating costs:</t>
  </si>
  <si>
    <t xml:space="preserve">  Seed</t>
  </si>
  <si>
    <t xml:space="preserve">  Fertilizer  2/</t>
  </si>
  <si>
    <t xml:space="preserve">  Chemicals</t>
  </si>
  <si>
    <t xml:space="preserve">  Custom operations  </t>
  </si>
  <si>
    <t xml:space="preserve">  Fuel, lube, and electricity</t>
  </si>
  <si>
    <t xml:space="preserve">  Repairs</t>
  </si>
  <si>
    <t xml:space="preserve">  Purchased irrigation water and straw baling</t>
  </si>
  <si>
    <t xml:space="preserve">  Interest on operating inputs</t>
  </si>
  <si>
    <t xml:space="preserve">    Total, operating costs</t>
  </si>
  <si>
    <t>Allocated overhead:</t>
  </si>
  <si>
    <t xml:space="preserve">  Hired labor</t>
  </si>
  <si>
    <t xml:space="preserve">  Opportunity cost of unpaid labor</t>
  </si>
  <si>
    <t xml:space="preserve">  Capital recovery of machinery and equipment</t>
  </si>
  <si>
    <t xml:space="preserve">  Opportunity cost of land (rental rate)</t>
  </si>
  <si>
    <t xml:space="preserve">  Taxes and insurance</t>
  </si>
  <si>
    <t xml:space="preserve">  General farm overhead</t>
  </si>
  <si>
    <t xml:space="preserve">    Total, allocated overhead</t>
  </si>
  <si>
    <t xml:space="preserve">      Total, costs listed</t>
  </si>
  <si>
    <t>Value of production less total costs listed</t>
  </si>
  <si>
    <t xml:space="preserve">Value of production less operating costs </t>
  </si>
  <si>
    <t>Supporting information:</t>
  </si>
  <si>
    <t xml:space="preserve">     Yield (bushels per planted acre)</t>
  </si>
  <si>
    <t xml:space="preserve">     Price (dollars per bushel at harvest)</t>
  </si>
  <si>
    <t>Enterprise size (planted acres)  1/</t>
  </si>
  <si>
    <t>Production practices:  1/</t>
  </si>
  <si>
    <t xml:space="preserve">     Winter wheat (percent of acres)</t>
  </si>
  <si>
    <t xml:space="preserve">     Spring wheat (percent of acres)</t>
  </si>
  <si>
    <t xml:space="preserve">     Durum wheat (percent of acres)</t>
  </si>
  <si>
    <t xml:space="preserve">     Irrigated (percent of acres)</t>
  </si>
  <si>
    <t xml:space="preserve">     Dryland (percent of acres)</t>
  </si>
  <si>
    <t>1/ Developed from survey base year, 2009.</t>
  </si>
  <si>
    <t>2/ Commercial fertilizer, soil conditioner, and manure.</t>
  </si>
  <si>
    <t>Risk and Expected Utility Analysis</t>
  </si>
  <si>
    <t xml:space="preserve">senseTotal: </t>
  </si>
  <si>
    <t>.</t>
  </si>
  <si>
    <t>selectionIndex</t>
  </si>
  <si>
    <t>formulaIndex</t>
  </si>
  <si>
    <t>cellAddress</t>
  </si>
  <si>
    <t>rangeAddress</t>
  </si>
  <si>
    <t>bookName</t>
  </si>
  <si>
    <t>sheetName</t>
  </si>
  <si>
    <t>ioIndex</t>
  </si>
  <si>
    <t>checkSelected</t>
  </si>
  <si>
    <t>baseValue</t>
  </si>
  <si>
    <t>useCellBase</t>
  </si>
  <si>
    <t>minPercent</t>
  </si>
  <si>
    <t>maxPercent</t>
  </si>
  <si>
    <t>minValue</t>
  </si>
  <si>
    <t>maxValue</t>
  </si>
  <si>
    <t>numIntervals</t>
  </si>
  <si>
    <t>intIndex</t>
  </si>
  <si>
    <t>varyWhenStepping</t>
  </si>
  <si>
    <t>intervalMode</t>
  </si>
  <si>
    <t>tableRange</t>
  </si>
  <si>
    <t>analysisString</t>
  </si>
  <si>
    <t>isInput</t>
  </si>
  <si>
    <t>groupIndex</t>
  </si>
  <si>
    <t>groupCount</t>
  </si>
  <si>
    <t>B4:AF4</t>
  </si>
  <si>
    <t>SW CC grad</t>
  </si>
  <si>
    <t>93.6</t>
  </si>
  <si>
    <t>-10%</t>
  </si>
  <si>
    <t>10%</t>
  </si>
  <si>
    <t/>
  </si>
  <si>
    <t xml:space="preserve">Base + Percent: -10.00% to 10.00% </t>
  </si>
  <si>
    <t>-0.1</t>
  </si>
  <si>
    <t>-6.66666666666667E-02</t>
  </si>
  <si>
    <t>-3.33333333333333E-02</t>
  </si>
  <si>
    <t>0</t>
  </si>
  <si>
    <t>3.33333333333333E-02</t>
  </si>
  <si>
    <t>6.66666666666667E-02</t>
  </si>
  <si>
    <t>0.1</t>
  </si>
  <si>
    <t>84.239998626709</t>
  </si>
  <si>
    <t>87.3599985758463</t>
  </si>
  <si>
    <t>90.4799985249837</t>
  </si>
  <si>
    <t>93.5999984741211</t>
  </si>
  <si>
    <t>96.7199984232585</t>
  </si>
  <si>
    <t>99.8399983723958</t>
  </si>
  <si>
    <t>102.959998321533</t>
  </si>
  <si>
    <t>Base -10.00%</t>
  </si>
  <si>
    <t>Base -6.67%</t>
  </si>
  <si>
    <t>Base -3.33%</t>
  </si>
  <si>
    <t>Base +0.00%</t>
  </si>
  <si>
    <t>Base +3.33%</t>
  </si>
  <si>
    <t>Base +6.67%</t>
  </si>
  <si>
    <t>Base +10.00%</t>
  </si>
  <si>
    <t>Cost/ac / 1997</t>
  </si>
  <si>
    <t>Cost/ac / 1998</t>
  </si>
  <si>
    <t>Cost/ac / 1999</t>
  </si>
  <si>
    <t>Cost/ac / 2000</t>
  </si>
  <si>
    <t>Cost/ac / 2001</t>
  </si>
  <si>
    <t>Cost/ac / 2002</t>
  </si>
  <si>
    <t>Cost/ac / 2003</t>
  </si>
  <si>
    <t>Cost/ac / 2004</t>
  </si>
  <si>
    <t>Cost/ac / 2005</t>
  </si>
  <si>
    <t>Cost/ac / 2006</t>
  </si>
  <si>
    <t>Cost/ac / 2007</t>
  </si>
  <si>
    <t>Cost/ac / 2008</t>
  </si>
  <si>
    <t>Cost/ac / 2009</t>
  </si>
  <si>
    <t>Cost/ac / 2010</t>
  </si>
  <si>
    <t>Cost/ac / 2011</t>
  </si>
  <si>
    <t>Cost/ac / 2012</t>
  </si>
  <si>
    <t>Cost/ac / 2013</t>
  </si>
  <si>
    <t>Cost/ac / 2014</t>
  </si>
  <si>
    <t>Cost/ac / 2015</t>
  </si>
  <si>
    <t>Cost/ac / 2016</t>
  </si>
  <si>
    <t>Cost/ac / 2017</t>
  </si>
  <si>
    <t>Cost/ac / 2018</t>
  </si>
  <si>
    <t>Cost/ac / 2019</t>
  </si>
  <si>
    <t>Cost/ac / 2020</t>
  </si>
  <si>
    <t>Cost/ac / 2021</t>
  </si>
  <si>
    <t>Cost/ac / 2022</t>
  </si>
  <si>
    <t>Cost/ac / 2023</t>
  </si>
  <si>
    <t>Cost/ac / 2024</t>
  </si>
  <si>
    <t>Cost/ac / 2025</t>
  </si>
  <si>
    <t>0.06</t>
  </si>
  <si>
    <t>99.2159983825684</t>
  </si>
  <si>
    <t>Base +6.00%</t>
  </si>
  <si>
    <t>base</t>
  </si>
  <si>
    <t>Cost</t>
  </si>
  <si>
    <t>Base cost</t>
  </si>
  <si>
    <t>Base price</t>
  </si>
  <si>
    <t>Grad NPV</t>
  </si>
  <si>
    <t>Sheet2</t>
  </si>
  <si>
    <t>4.39</t>
  </si>
  <si>
    <t>-10.00%</t>
  </si>
  <si>
    <t>10.00%</t>
  </si>
  <si>
    <t>3.95099987983704</t>
  </si>
  <si>
    <t>4.82899985313415</t>
  </si>
  <si>
    <t>D3</t>
  </si>
  <si>
    <t>Base cost / SW SF</t>
  </si>
  <si>
    <t>110.5</t>
  </si>
  <si>
    <t>99.45</t>
  </si>
  <si>
    <t>121.55</t>
  </si>
  <si>
    <t>D4</t>
  </si>
  <si>
    <t>Base price / SW SF</t>
  </si>
  <si>
    <t>4.24366653760274</t>
  </si>
  <si>
    <t>4.53633319536845</t>
  </si>
  <si>
    <t>106.816666666667</t>
  </si>
  <si>
    <t>114.183333333333</t>
  </si>
  <si>
    <t>6.2.1</t>
  </si>
  <si>
    <t>Extremes Generator</t>
  </si>
  <si>
    <t>Likelihood</t>
  </si>
  <si>
    <t>Simulated Occurrence</t>
  </si>
  <si>
    <t>Winter Kill?</t>
  </si>
  <si>
    <t>Winter Kill? 5% chance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</si>
</sst>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3" formatCode="_(* #,##0.00_);_(* \(#,##0.00\);_(* &quot;-&quot;??_);_(@_)"/>
    <numFmt numFmtId="164" formatCode="&quot;$&quot;#,##0.0_);[Red]\(&quot;$&quot;#,##0.0\)"/>
    <numFmt numFmtId="165" formatCode="_(* #,##0_);_(* \(#,##0\);_(* &quot;-&quot;??_);_(@_)"/>
    <numFmt numFmtId="166" formatCode="0.0"/>
    <numFmt numFmtId="167" formatCode="0.00_)"/>
    <numFmt numFmtId="168" formatCode="0.000"/>
  </numFmts>
  <fonts count="24" x14ac:knownFonts="1">
    <font>
      <sz val="11"/>
      <color theme="1"/>
      <name val="Calibri"/>
      <family val="2"/>
      <scheme val="minor"/>
    </font>
    <font>
      <sz val="11"/>
      <color theme="1"/>
      <name val="Calibri"/>
      <family val="2"/>
      <scheme val="minor"/>
    </font>
    <font>
      <sz val="11"/>
      <color rgb="FF006100"/>
      <name val="Calibri"/>
      <family val="2"/>
      <scheme val="minor"/>
    </font>
    <font>
      <sz val="11"/>
      <name val="Calibri"/>
      <family val="2"/>
      <scheme val="minor"/>
    </font>
    <font>
      <sz val="10"/>
      <name val="Arial"/>
      <family val="2"/>
    </font>
    <font>
      <b/>
      <sz val="10"/>
      <name val="Arial"/>
      <family val="2"/>
    </font>
    <font>
      <b/>
      <sz val="10"/>
      <color indexed="16"/>
      <name val="Arial"/>
      <family val="2"/>
    </font>
    <font>
      <b/>
      <sz val="10"/>
      <color rgb="FFFF0000"/>
      <name val="Arial"/>
      <family val="2"/>
    </font>
    <font>
      <b/>
      <sz val="10"/>
      <color indexed="10"/>
      <name val="Arial"/>
      <family val="2"/>
    </font>
    <font>
      <sz val="10"/>
      <color indexed="16"/>
      <name val="Arial"/>
      <family val="2"/>
    </font>
    <font>
      <sz val="10"/>
      <color rgb="FFFF0000"/>
      <name val="Arial"/>
      <family val="2"/>
    </font>
    <font>
      <sz val="10"/>
      <color indexed="10"/>
      <name val="Arial"/>
      <family val="2"/>
    </font>
    <font>
      <sz val="12"/>
      <color indexed="16"/>
      <name val="Helv"/>
    </font>
    <font>
      <sz val="12"/>
      <color rgb="FFFF0000"/>
      <name val="Helv"/>
    </font>
    <font>
      <sz val="12"/>
      <color indexed="10"/>
      <name val="Helv"/>
    </font>
    <font>
      <b/>
      <sz val="12"/>
      <color rgb="FFFF0000"/>
      <name val="Helv"/>
    </font>
    <font>
      <b/>
      <sz val="12"/>
      <color indexed="10"/>
      <name val="Helv"/>
    </font>
    <font>
      <b/>
      <sz val="12"/>
      <color indexed="16"/>
      <name val="Helv"/>
    </font>
    <font>
      <sz val="10"/>
      <color rgb="FFFF0000"/>
      <name val="Helv"/>
    </font>
    <font>
      <sz val="10"/>
      <color indexed="10"/>
      <name val="Helv"/>
    </font>
    <font>
      <sz val="10"/>
      <color indexed="16"/>
      <name val="Helv"/>
    </font>
    <font>
      <b/>
      <sz val="10"/>
      <color indexed="16"/>
      <name val="Helv"/>
    </font>
    <font>
      <b/>
      <sz val="10"/>
      <color rgb="FFFF0000"/>
      <name val="Helv"/>
    </font>
    <font>
      <b/>
      <sz val="10"/>
      <color indexed="10"/>
      <name val="Helv"/>
    </font>
  </fonts>
  <fills count="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theme="0"/>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2" fillId="3" borderId="0" applyNumberFormat="0" applyBorder="0" applyAlignment="0" applyProtection="0"/>
  </cellStyleXfs>
  <cellXfs count="125">
    <xf numFmtId="0" fontId="0" fillId="0" borderId="0" xfId="0"/>
    <xf numFmtId="6" fontId="0" fillId="0" borderId="0" xfId="0" applyNumberFormat="1"/>
    <xf numFmtId="8" fontId="0" fillId="0" borderId="0" xfId="0" applyNumberFormat="1"/>
    <xf numFmtId="0" fontId="0" fillId="0" borderId="0" xfId="0" applyBorder="1"/>
    <xf numFmtId="0" fontId="0" fillId="0" borderId="0" xfId="0" applyNumberFormat="1"/>
    <xf numFmtId="0" fontId="0" fillId="0" borderId="0" xfId="0" applyFill="1" applyBorder="1"/>
    <xf numFmtId="164" fontId="0" fillId="0" borderId="0" xfId="0" applyNumberFormat="1"/>
    <xf numFmtId="165" fontId="0" fillId="0" borderId="0" xfId="1" applyNumberFormat="1" applyFont="1"/>
    <xf numFmtId="1" fontId="0" fillId="0" borderId="0" xfId="0" applyNumberFormat="1"/>
    <xf numFmtId="166" fontId="0" fillId="0" borderId="0" xfId="0" applyNumberFormat="1"/>
    <xf numFmtId="0" fontId="0" fillId="0" borderId="0" xfId="0" applyAlignment="1">
      <alignment horizontal="center"/>
    </xf>
    <xf numFmtId="0" fontId="0" fillId="0" borderId="0" xfId="0" applyAlignment="1">
      <alignment horizontal="right"/>
    </xf>
    <xf numFmtId="0" fontId="0" fillId="2" borderId="0" xfId="0" applyFill="1" applyAlignment="1">
      <alignment wrapText="1"/>
    </xf>
    <xf numFmtId="0" fontId="0" fillId="0" borderId="0" xfId="0" applyAlignment="1">
      <alignment vertical="top" wrapText="1"/>
    </xf>
    <xf numFmtId="0" fontId="0" fillId="0" borderId="0" xfId="0" applyAlignment="1">
      <alignment horizontal="center" vertical="top" wrapText="1"/>
    </xf>
    <xf numFmtId="0" fontId="2" fillId="3" borderId="0" xfId="2"/>
    <xf numFmtId="166" fontId="0" fillId="4" borderId="0" xfId="0" applyNumberFormat="1" applyFill="1"/>
    <xf numFmtId="0" fontId="0" fillId="0" borderId="0" xfId="0" applyFill="1"/>
    <xf numFmtId="0" fontId="3" fillId="0" borderId="0" xfId="2" applyFont="1" applyFill="1" applyBorder="1"/>
    <xf numFmtId="2" fontId="0" fillId="0" borderId="0" xfId="0" applyNumberFormat="1"/>
    <xf numFmtId="0" fontId="0" fillId="0" borderId="0" xfId="0" quotePrefix="1"/>
    <xf numFmtId="165" fontId="0" fillId="0" borderId="0" xfId="1" applyNumberFormat="1" applyFont="1" applyFill="1"/>
    <xf numFmtId="1" fontId="0" fillId="0" borderId="0" xfId="0" applyNumberFormat="1" applyFill="1"/>
    <xf numFmtId="166" fontId="0" fillId="0" borderId="0" xfId="0" applyNumberFormat="1" applyFill="1"/>
    <xf numFmtId="2" fontId="0" fillId="0" borderId="0" xfId="0" applyNumberFormat="1" applyFill="1"/>
    <xf numFmtId="0" fontId="0" fillId="0" borderId="0" xfId="0" applyAlignment="1">
      <alignment horizontal="right" vertical="top"/>
    </xf>
    <xf numFmtId="0" fontId="0" fillId="0" borderId="0" xfId="0" applyAlignment="1">
      <alignment wrapText="1"/>
    </xf>
    <xf numFmtId="0" fontId="1" fillId="0" borderId="0" xfId="2" applyFont="1" applyFill="1"/>
    <xf numFmtId="0" fontId="4" fillId="0" borderId="0" xfId="0" quotePrefix="1" applyFont="1" applyBorder="1" applyAlignment="1" applyProtection="1">
      <alignment horizontal="left"/>
    </xf>
    <xf numFmtId="0" fontId="4" fillId="0" borderId="0" xfId="0" applyFont="1" applyAlignment="1">
      <alignment horizontal="right"/>
    </xf>
    <xf numFmtId="0" fontId="4" fillId="0" borderId="0" xfId="0" applyFont="1"/>
    <xf numFmtId="0" fontId="4" fillId="0" borderId="1" xfId="0" applyFont="1" applyBorder="1" applyAlignment="1" applyProtection="1">
      <alignment horizontal="fill"/>
    </xf>
    <xf numFmtId="0" fontId="4" fillId="0" borderId="1" xfId="0" applyFont="1" applyBorder="1" applyAlignment="1" applyProtection="1">
      <alignment horizontal="right"/>
    </xf>
    <xf numFmtId="0" fontId="4" fillId="0" borderId="0" xfId="0" applyFont="1" applyBorder="1"/>
    <xf numFmtId="0" fontId="4" fillId="0" borderId="0" xfId="0" applyFont="1" applyAlignment="1" applyProtection="1">
      <alignment horizontal="left"/>
    </xf>
    <xf numFmtId="0" fontId="4" fillId="0" borderId="0" xfId="0" quotePrefix="1" applyFont="1" applyAlignment="1" applyProtection="1">
      <alignment horizontal="right"/>
    </xf>
    <xf numFmtId="0" fontId="5" fillId="0" borderId="1" xfId="0" applyFont="1" applyBorder="1" applyAlignment="1" applyProtection="1">
      <alignment horizontal="right"/>
    </xf>
    <xf numFmtId="0" fontId="5" fillId="0" borderId="0" xfId="0" applyFont="1" applyBorder="1" applyAlignment="1" applyProtection="1">
      <alignment horizontal="right"/>
    </xf>
    <xf numFmtId="0" fontId="5" fillId="0" borderId="0" xfId="0" applyFont="1" applyAlignment="1">
      <alignment horizontal="right"/>
    </xf>
    <xf numFmtId="0" fontId="4" fillId="0" borderId="0" xfId="0" quotePrefix="1" applyFont="1" applyAlignment="1" applyProtection="1">
      <alignment horizontal="left"/>
    </xf>
    <xf numFmtId="2" fontId="4" fillId="0" borderId="0" xfId="0" applyNumberFormat="1" applyFont="1" applyProtection="1"/>
    <xf numFmtId="2" fontId="4" fillId="0" borderId="0" xfId="0" quotePrefix="1" applyNumberFormat="1" applyFont="1" applyAlignment="1">
      <alignment horizontal="right"/>
    </xf>
    <xf numFmtId="2" fontId="4" fillId="0" borderId="0" xfId="0" applyNumberFormat="1" applyFont="1"/>
    <xf numFmtId="2" fontId="4" fillId="0" borderId="0" xfId="0" applyNumberFormat="1" applyFont="1" applyAlignment="1" applyProtection="1">
      <alignment horizontal="right"/>
    </xf>
    <xf numFmtId="2" fontId="4" fillId="0" borderId="0" xfId="0" applyNumberFormat="1" applyFont="1" applyAlignment="1">
      <alignment horizontal="right"/>
    </xf>
    <xf numFmtId="0" fontId="4" fillId="0" borderId="0" xfId="0" applyFont="1" applyBorder="1" applyAlignment="1" applyProtection="1">
      <alignment horizontal="fill"/>
    </xf>
    <xf numFmtId="2" fontId="4" fillId="0" borderId="0" xfId="0" applyNumberFormat="1" applyFont="1" applyBorder="1" applyAlignment="1" applyProtection="1">
      <alignment horizontal="right"/>
    </xf>
    <xf numFmtId="2" fontId="4" fillId="0" borderId="0" xfId="0" applyNumberFormat="1" applyFont="1" applyBorder="1" applyAlignment="1" applyProtection="1">
      <alignment horizontal="fill"/>
    </xf>
    <xf numFmtId="167" fontId="4" fillId="0" borderId="1" xfId="0" applyNumberFormat="1" applyFont="1" applyBorder="1" applyAlignment="1" applyProtection="1">
      <alignment horizontal="right"/>
    </xf>
    <xf numFmtId="167" fontId="4" fillId="0" borderId="1" xfId="0" applyNumberFormat="1" applyFont="1" applyBorder="1" applyAlignment="1" applyProtection="1">
      <alignment horizontal="fill"/>
    </xf>
    <xf numFmtId="0" fontId="4" fillId="0" borderId="0" xfId="0" applyFont="1" applyBorder="1" applyAlignment="1" applyProtection="1"/>
    <xf numFmtId="167" fontId="4" fillId="0" borderId="0" xfId="0" applyNumberFormat="1" applyFont="1" applyBorder="1" applyAlignment="1" applyProtection="1">
      <alignment horizontal="right"/>
    </xf>
    <xf numFmtId="167" fontId="4" fillId="0" borderId="0" xfId="0" applyNumberFormat="1" applyFont="1" applyBorder="1" applyAlignment="1" applyProtection="1">
      <alignment horizontal="fill"/>
    </xf>
    <xf numFmtId="1" fontId="4" fillId="0" borderId="0" xfId="0" quotePrefix="1" applyNumberFormat="1" applyFont="1" applyAlignment="1">
      <alignment horizontal="right"/>
    </xf>
    <xf numFmtId="1" fontId="4" fillId="0" borderId="0" xfId="0" applyNumberFormat="1" applyFont="1" applyBorder="1" applyAlignment="1" applyProtection="1">
      <alignment horizontal="right"/>
    </xf>
    <xf numFmtId="0" fontId="4" fillId="0" borderId="0" xfId="0" quotePrefix="1" applyFont="1" applyAlignment="1">
      <alignment horizontal="left"/>
    </xf>
    <xf numFmtId="1" fontId="4" fillId="0" borderId="0" xfId="0" applyNumberFormat="1" applyFont="1" applyAlignment="1" applyProtection="1">
      <alignment horizontal="right"/>
    </xf>
    <xf numFmtId="0" fontId="4" fillId="0" borderId="0" xfId="0" applyFont="1" applyFill="1" applyBorder="1"/>
    <xf numFmtId="2" fontId="5" fillId="0" borderId="0" xfId="0" applyNumberFormat="1" applyFont="1" applyAlignment="1">
      <alignment horizontal="right"/>
    </xf>
    <xf numFmtId="2" fontId="5" fillId="0" borderId="0" xfId="0" applyNumberFormat="1" applyFont="1"/>
    <xf numFmtId="0" fontId="5" fillId="0" borderId="0" xfId="0" quotePrefix="1" applyFont="1" applyAlignment="1">
      <alignment horizontal="center"/>
    </xf>
    <xf numFmtId="0" fontId="5" fillId="0" borderId="0" xfId="0" applyFont="1" applyAlignment="1">
      <alignment horizontal="center"/>
    </xf>
    <xf numFmtId="0" fontId="6" fillId="0" borderId="0" xfId="0" applyFont="1"/>
    <xf numFmtId="0" fontId="7" fillId="0" borderId="0" xfId="0" applyFont="1" applyAlignment="1">
      <alignment horizontal="right"/>
    </xf>
    <xf numFmtId="0" fontId="8" fillId="0" borderId="0" xfId="0" applyFont="1" applyAlignment="1">
      <alignment horizontal="right"/>
    </xf>
    <xf numFmtId="0" fontId="9" fillId="0" borderId="0" xfId="0" quotePrefix="1" applyFont="1" applyAlignment="1">
      <alignment horizontal="left"/>
    </xf>
    <xf numFmtId="1" fontId="10" fillId="0" borderId="0" xfId="0" applyNumberFormat="1" applyFont="1" applyAlignment="1">
      <alignment horizontal="right"/>
    </xf>
    <xf numFmtId="1" fontId="11" fillId="0" borderId="0" xfId="0" applyNumberFormat="1" applyFont="1" applyAlignment="1">
      <alignment horizontal="right"/>
    </xf>
    <xf numFmtId="0" fontId="10" fillId="0" borderId="0" xfId="0" applyFont="1" applyAlignment="1">
      <alignment horizontal="right"/>
    </xf>
    <xf numFmtId="0" fontId="11" fillId="0" borderId="0" xfId="0" applyFont="1" applyAlignment="1">
      <alignment horizontal="right"/>
    </xf>
    <xf numFmtId="0" fontId="11" fillId="0" borderId="0" xfId="0" applyFont="1"/>
    <xf numFmtId="0" fontId="10" fillId="0" borderId="0" xfId="0" applyFont="1"/>
    <xf numFmtId="1" fontId="11" fillId="0" borderId="0" xfId="0" applyNumberFormat="1" applyFont="1"/>
    <xf numFmtId="1" fontId="10" fillId="0" borderId="0" xfId="0" applyNumberFormat="1" applyFont="1"/>
    <xf numFmtId="0" fontId="9" fillId="0" borderId="0" xfId="0" applyFont="1"/>
    <xf numFmtId="2" fontId="10" fillId="0" borderId="0" xfId="0" applyNumberFormat="1" applyFont="1" applyAlignment="1">
      <alignment horizontal="right"/>
    </xf>
    <xf numFmtId="2" fontId="11" fillId="0" borderId="0" xfId="0" applyNumberFormat="1" applyFont="1" applyAlignment="1">
      <alignment horizontal="right"/>
    </xf>
    <xf numFmtId="2" fontId="11" fillId="0" borderId="0" xfId="0" applyNumberFormat="1" applyFont="1"/>
    <xf numFmtId="2" fontId="10" fillId="0" borderId="0" xfId="0" applyNumberFormat="1" applyFont="1"/>
    <xf numFmtId="0" fontId="12" fillId="0" borderId="0" xfId="0" applyFont="1"/>
    <xf numFmtId="0" fontId="13" fillId="0" borderId="0" xfId="0" applyFont="1" applyAlignment="1">
      <alignment horizontal="right"/>
    </xf>
    <xf numFmtId="0" fontId="14" fillId="0" borderId="0" xfId="0" applyFont="1" applyAlignment="1">
      <alignment horizontal="right"/>
    </xf>
    <xf numFmtId="0" fontId="14" fillId="0" borderId="0" xfId="0" applyFont="1"/>
    <xf numFmtId="0" fontId="13" fillId="0" borderId="0" xfId="0" applyFont="1"/>
    <xf numFmtId="166" fontId="10" fillId="0" borderId="0" xfId="0" applyNumberFormat="1" applyFont="1" applyAlignment="1">
      <alignment horizontal="right"/>
    </xf>
    <xf numFmtId="166" fontId="11" fillId="0" borderId="0" xfId="0" applyNumberFormat="1" applyFont="1" applyAlignment="1">
      <alignment horizontal="right"/>
    </xf>
    <xf numFmtId="166" fontId="11" fillId="0" borderId="0" xfId="0" applyNumberFormat="1" applyFont="1"/>
    <xf numFmtId="166" fontId="10" fillId="0" borderId="0" xfId="0" applyNumberFormat="1" applyFont="1"/>
    <xf numFmtId="0" fontId="6" fillId="0" borderId="0" xfId="0" quotePrefix="1" applyFont="1" applyAlignment="1">
      <alignment horizontal="left"/>
    </xf>
    <xf numFmtId="2" fontId="15" fillId="0" borderId="0" xfId="0" applyNumberFormat="1" applyFont="1" applyAlignment="1">
      <alignment horizontal="right"/>
    </xf>
    <xf numFmtId="2" fontId="16" fillId="0" borderId="0" xfId="0" applyNumberFormat="1" applyFont="1" applyAlignment="1">
      <alignment horizontal="right"/>
    </xf>
    <xf numFmtId="2" fontId="16" fillId="0" borderId="0" xfId="0" applyNumberFormat="1" applyFont="1"/>
    <xf numFmtId="2" fontId="15" fillId="0" borderId="0" xfId="0" applyNumberFormat="1" applyFont="1"/>
    <xf numFmtId="0" fontId="9" fillId="0" borderId="0" xfId="0" applyFont="1" applyAlignment="1">
      <alignment horizontal="left"/>
    </xf>
    <xf numFmtId="0" fontId="17" fillId="0" borderId="0" xfId="0" quotePrefix="1" applyFont="1" applyAlignment="1">
      <alignment horizontal="center"/>
    </xf>
    <xf numFmtId="0" fontId="7" fillId="0" borderId="0" xfId="0" applyFont="1" applyAlignment="1">
      <alignment horizontal="center"/>
    </xf>
    <xf numFmtId="2" fontId="7" fillId="0" borderId="0" xfId="0" applyNumberFormat="1" applyFont="1" applyAlignment="1">
      <alignment horizontal="right"/>
    </xf>
    <xf numFmtId="2" fontId="8" fillId="0" borderId="0" xfId="0" applyNumberFormat="1" applyFont="1" applyAlignment="1">
      <alignment horizontal="right"/>
    </xf>
    <xf numFmtId="2" fontId="8" fillId="0" borderId="0" xfId="0" applyNumberFormat="1" applyFont="1"/>
    <xf numFmtId="2" fontId="7" fillId="0" borderId="0" xfId="0" applyNumberFormat="1" applyFont="1"/>
    <xf numFmtId="0" fontId="11" fillId="0" borderId="0" xfId="0" applyFont="1" applyAlignment="1"/>
    <xf numFmtId="0" fontId="10" fillId="0" borderId="0" xfId="0" applyFont="1" applyAlignment="1"/>
    <xf numFmtId="2" fontId="10" fillId="0" borderId="0" xfId="0" quotePrefix="1" applyNumberFormat="1" applyFont="1" applyAlignment="1">
      <alignment horizontal="right"/>
    </xf>
    <xf numFmtId="2" fontId="11" fillId="0" borderId="0" xfId="0" quotePrefix="1" applyNumberFormat="1" applyFont="1" applyAlignment="1">
      <alignment horizontal="right"/>
    </xf>
    <xf numFmtId="0" fontId="17" fillId="0" borderId="0" xfId="0" quotePrefix="1" applyFont="1" applyAlignment="1">
      <alignment horizontal="left"/>
    </xf>
    <xf numFmtId="0" fontId="18" fillId="0" borderId="0" xfId="0" applyFont="1" applyAlignment="1">
      <alignment horizontal="right"/>
    </xf>
    <xf numFmtId="0" fontId="19" fillId="0" borderId="0" xfId="0" applyFont="1" applyAlignment="1">
      <alignment horizontal="right"/>
    </xf>
    <xf numFmtId="0" fontId="19" fillId="0" borderId="0" xfId="0" applyFont="1"/>
    <xf numFmtId="0" fontId="18" fillId="0" borderId="0" xfId="0" applyFont="1"/>
    <xf numFmtId="0" fontId="20" fillId="0" borderId="0" xfId="0" quotePrefix="1" applyFont="1" applyAlignment="1">
      <alignment horizontal="left"/>
    </xf>
    <xf numFmtId="2" fontId="18" fillId="0" borderId="0" xfId="0" applyNumberFormat="1" applyFont="1" applyAlignment="1">
      <alignment horizontal="right"/>
    </xf>
    <xf numFmtId="2" fontId="19" fillId="0" borderId="0" xfId="0" applyNumberFormat="1" applyFont="1" applyAlignment="1">
      <alignment horizontal="right"/>
    </xf>
    <xf numFmtId="0" fontId="20" fillId="0" borderId="0" xfId="0" applyFont="1"/>
    <xf numFmtId="168" fontId="18" fillId="0" borderId="0" xfId="0" applyNumberFormat="1" applyFont="1" applyAlignment="1">
      <alignment horizontal="right"/>
    </xf>
    <xf numFmtId="168" fontId="19" fillId="0" borderId="0" xfId="0" applyNumberFormat="1" applyFont="1" applyAlignment="1">
      <alignment horizontal="right"/>
    </xf>
    <xf numFmtId="0" fontId="21" fillId="0" borderId="0" xfId="0" quotePrefix="1" applyFont="1" applyAlignment="1">
      <alignment horizontal="left"/>
    </xf>
    <xf numFmtId="2" fontId="22" fillId="0" borderId="0" xfId="0" applyNumberFormat="1" applyFont="1" applyAlignment="1">
      <alignment horizontal="right"/>
    </xf>
    <xf numFmtId="2" fontId="23" fillId="0" borderId="0" xfId="0" applyNumberFormat="1" applyFont="1" applyAlignment="1">
      <alignment horizontal="right"/>
    </xf>
    <xf numFmtId="0" fontId="16" fillId="0" borderId="0" xfId="0" applyFont="1"/>
    <xf numFmtId="0" fontId="15" fillId="0" borderId="0" xfId="0" applyFont="1"/>
    <xf numFmtId="0" fontId="2" fillId="3" borderId="0" xfId="2" applyAlignment="1">
      <alignment wrapText="1"/>
    </xf>
    <xf numFmtId="9" fontId="0" fillId="0" borderId="0" xfId="0" applyNumberFormat="1"/>
    <xf numFmtId="0" fontId="4" fillId="0" borderId="0" xfId="0" quotePrefix="1" applyFont="1" applyBorder="1" applyAlignment="1" applyProtection="1"/>
    <xf numFmtId="0" fontId="4" fillId="0" borderId="0" xfId="0" quotePrefix="1" applyFont="1" applyBorder="1" applyAlignment="1" applyProtection="1">
      <alignment horizontal="center"/>
    </xf>
    <xf numFmtId="0" fontId="6" fillId="0" borderId="0" xfId="0" applyFont="1" applyAlignment="1">
      <alignment horizontal="center"/>
    </xf>
  </cellXfs>
  <cellStyles count="3">
    <cellStyle name="Comma" xfId="1" builtinId="3"/>
    <cellStyle name="Good" xfId="2" builtinId="26"/>
    <cellStyle name="Normal" xfId="0" builtinId="0"/>
  </cellStyles>
  <dxfs count="2129">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fill>
        <patternFill>
          <bgColor indexed="26"/>
        </patternFill>
      </fill>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fill>
        <patternFill>
          <bgColor indexed="26"/>
        </patternFill>
      </fill>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fill>
        <patternFill>
          <bgColor indexed="26"/>
        </patternFill>
      </fill>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fill>
        <patternFill>
          <bgColor indexed="26"/>
        </patternFill>
      </fill>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'SW CC grad'!$B$23</c:f>
              <c:strCache>
                <c:ptCount val="1"/>
                <c:pt idx="0">
                  <c:v>Cost</c:v>
                </c:pt>
              </c:strCache>
            </c:strRef>
          </c:tx>
          <c:marker>
            <c:symbol val="none"/>
          </c:marker>
          <c:cat>
            <c:strRef>
              <c:f>'SW CC grad'!$A$24:$A$28</c:f>
              <c:strCache>
                <c:ptCount val="5"/>
                <c:pt idx="0">
                  <c:v>-50%</c:v>
                </c:pt>
                <c:pt idx="1">
                  <c:v>-10%</c:v>
                </c:pt>
                <c:pt idx="2">
                  <c:v>base</c:v>
                </c:pt>
                <c:pt idx="3">
                  <c:v>10%</c:v>
                </c:pt>
                <c:pt idx="4">
                  <c:v>50%</c:v>
                </c:pt>
              </c:strCache>
            </c:strRef>
          </c:cat>
          <c:val>
            <c:numRef>
              <c:f>'SW CC grad'!$B$24:$B$28</c:f>
              <c:numCache>
                <c:formatCode>"$"#,##0_);[Red]\("$"#,##0\)</c:formatCode>
                <c:ptCount val="5"/>
                <c:pt idx="0">
                  <c:v>2745030.4824207406</c:v>
                </c:pt>
                <c:pt idx="1">
                  <c:v>1224997.916828796</c:v>
                </c:pt>
                <c:pt idx="2" formatCode="0">
                  <c:v>840989.68973188393</c:v>
                </c:pt>
                <c:pt idx="3" formatCode="0">
                  <c:v>464981.63403282419</c:v>
                </c:pt>
                <c:pt idx="4" formatCode="0">
                  <c:v>-2615084.3541403254</c:v>
                </c:pt>
              </c:numCache>
            </c:numRef>
          </c:val>
          <c:smooth val="0"/>
        </c:ser>
        <c:ser>
          <c:idx val="1"/>
          <c:order val="1"/>
          <c:tx>
            <c:strRef>
              <c:f>'SW CC grad'!$C$23</c:f>
              <c:strCache>
                <c:ptCount val="1"/>
                <c:pt idx="0">
                  <c:v>Price</c:v>
                </c:pt>
              </c:strCache>
            </c:strRef>
          </c:tx>
          <c:marker>
            <c:symbol val="none"/>
          </c:marker>
          <c:cat>
            <c:strRef>
              <c:f>'SW CC grad'!$A$24:$A$28</c:f>
              <c:strCache>
                <c:ptCount val="5"/>
                <c:pt idx="0">
                  <c:v>-50%</c:v>
                </c:pt>
                <c:pt idx="1">
                  <c:v>-10%</c:v>
                </c:pt>
                <c:pt idx="2">
                  <c:v>base</c:v>
                </c:pt>
                <c:pt idx="3">
                  <c:v>10%</c:v>
                </c:pt>
                <c:pt idx="4">
                  <c:v>50%</c:v>
                </c:pt>
              </c:strCache>
            </c:strRef>
          </c:cat>
          <c:val>
            <c:numRef>
              <c:f>'SW CC grad'!$C$24:$C$28</c:f>
              <c:numCache>
                <c:formatCode>General</c:formatCode>
                <c:ptCount val="5"/>
                <c:pt idx="0">
                  <c:v>-1498544.8398343986</c:v>
                </c:pt>
                <c:pt idx="1">
                  <c:v>433660.01717346907</c:v>
                </c:pt>
                <c:pt idx="2" formatCode="0">
                  <c:v>840989.68973188393</c:v>
                </c:pt>
                <c:pt idx="3">
                  <c:v>1269208.0634471418</c:v>
                </c:pt>
                <c:pt idx="4">
                  <c:v>3133524.6416952731</c:v>
                </c:pt>
              </c:numCache>
            </c:numRef>
          </c:val>
          <c:smooth val="0"/>
        </c:ser>
        <c:dLbls>
          <c:showLegendKey val="0"/>
          <c:showVal val="0"/>
          <c:showCatName val="0"/>
          <c:showSerName val="0"/>
          <c:showPercent val="0"/>
          <c:showBubbleSize val="0"/>
        </c:dLbls>
        <c:marker val="1"/>
        <c:smooth val="0"/>
        <c:axId val="109815296"/>
        <c:axId val="109816832"/>
      </c:lineChart>
      <c:catAx>
        <c:axId val="109815296"/>
        <c:scaling>
          <c:orientation val="minMax"/>
        </c:scaling>
        <c:delete val="0"/>
        <c:axPos val="b"/>
        <c:majorTickMark val="out"/>
        <c:minorTickMark val="none"/>
        <c:tickLblPos val="nextTo"/>
        <c:crossAx val="109816832"/>
        <c:crosses val="autoZero"/>
        <c:auto val="1"/>
        <c:lblAlgn val="ctr"/>
        <c:lblOffset val="100"/>
        <c:noMultiLvlLbl val="0"/>
      </c:catAx>
      <c:valAx>
        <c:axId val="109816832"/>
        <c:scaling>
          <c:orientation val="minMax"/>
        </c:scaling>
        <c:delete val="0"/>
        <c:axPos val="l"/>
        <c:majorGridlines/>
        <c:numFmt formatCode="&quot;$&quot;#,##0_);[Red]\(&quot;$&quot;#,##0\)" sourceLinked="1"/>
        <c:majorTickMark val="out"/>
        <c:minorTickMark val="none"/>
        <c:tickLblPos val="nextTo"/>
        <c:crossAx val="109815296"/>
        <c:crosses val="autoZero"/>
        <c:crossBetween val="between"/>
      </c:valAx>
    </c:plotArea>
    <c:legend>
      <c:legendPos val="r"/>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Gradual Change</a:t>
            </a:r>
          </a:p>
        </c:rich>
      </c:tx>
      <c:layout>
        <c:manualLayout>
          <c:xMode val="edge"/>
          <c:yMode val="edge"/>
          <c:x val="0.32186811023622125"/>
          <c:y val="1.3888888888888923E-2"/>
        </c:manualLayout>
      </c:layout>
      <c:overlay val="1"/>
    </c:title>
    <c:autoTitleDeleted val="0"/>
    <c:plotArea>
      <c:layout/>
      <c:lineChart>
        <c:grouping val="standard"/>
        <c:varyColors val="0"/>
        <c:ser>
          <c:idx val="0"/>
          <c:order val="0"/>
          <c:tx>
            <c:strRef>
              <c:f>'NPV comparisons'!$B$1</c:f>
              <c:strCache>
                <c:ptCount val="1"/>
                <c:pt idx="0">
                  <c:v>SW CC</c:v>
                </c:pt>
              </c:strCache>
            </c:strRef>
          </c:tx>
          <c:marker>
            <c:symbol val="none"/>
          </c:marker>
          <c:cat>
            <c:numRef>
              <c:f>'NPV comparisons'!$A$2:$A$32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'NPV comparisons'!$B$2:$B$32</c:f>
              <c:numCache>
                <c:formatCode>_(* #,##0_);_(* \(#,##0\);_(* "-"??_);_(@_)</c:formatCode>
                <c:ptCount val="31"/>
                <c:pt idx="0">
                  <c:v>840989.68973188393</c:v>
                </c:pt>
                <c:pt idx="1">
                  <c:v>804067.3804238406</c:v>
                </c:pt>
                <c:pt idx="2">
                  <c:v>766037.4018365558</c:v>
                </c:pt>
                <c:pt idx="3">
                  <c:v>731256.52389165259</c:v>
                </c:pt>
                <c:pt idx="4">
                  <c:v>699822.21960840223</c:v>
                </c:pt>
                <c:pt idx="5">
                  <c:v>658664.88619665429</c:v>
                </c:pt>
                <c:pt idx="6">
                  <c:v>625052.83278255386</c:v>
                </c:pt>
                <c:pt idx="7">
                  <c:v>581652.41776603064</c:v>
                </c:pt>
                <c:pt idx="8">
                  <c:v>545729.9902990117</c:v>
                </c:pt>
                <c:pt idx="9">
                  <c:v>499949.89000798197</c:v>
                </c:pt>
                <c:pt idx="10">
                  <c:v>461576.38670822157</c:v>
                </c:pt>
                <c:pt idx="11">
                  <c:v>430831.6783094682</c:v>
                </c:pt>
                <c:pt idx="12">
                  <c:v>403554.62865875225</c:v>
                </c:pt>
                <c:pt idx="13">
                  <c:v>379849.26751851488</c:v>
                </c:pt>
                <c:pt idx="14">
                  <c:v>364212.74554407044</c:v>
                </c:pt>
                <c:pt idx="15">
                  <c:v>339327.12791039248</c:v>
                </c:pt>
                <c:pt idx="16">
                  <c:v>313694.94174770429</c:v>
                </c:pt>
                <c:pt idx="17">
                  <c:v>296073.79000013554</c:v>
                </c:pt>
                <c:pt idx="18">
                  <c:v>273534.00370013964</c:v>
                </c:pt>
                <c:pt idx="19">
                  <c:v>237148.02381114391</c:v>
                </c:pt>
                <c:pt idx="20">
                  <c:v>190890.46452547819</c:v>
                </c:pt>
                <c:pt idx="21">
                  <c:v>160805.17846124261</c:v>
                </c:pt>
                <c:pt idx="22">
                  <c:v>138597.33381507991</c:v>
                </c:pt>
                <c:pt idx="23">
                  <c:v>98163.253829532332</c:v>
                </c:pt>
                <c:pt idx="24">
                  <c:v>74076.151444418312</c:v>
                </c:pt>
                <c:pt idx="25">
                  <c:v>58046.435987750876</c:v>
                </c:pt>
                <c:pt idx="26">
                  <c:v>32755.829067383442</c:v>
                </c:pt>
                <c:pt idx="27">
                  <c:v>11096.503939404971</c:v>
                </c:pt>
                <c:pt idx="28">
                  <c:v>1957.3990575871189</c:v>
                </c:pt>
                <c:pt idx="29">
                  <c:v>1324.1210293147326</c:v>
                </c:pt>
                <c:pt idx="30">
                  <c:v>671.84466019417471</c:v>
                </c:pt>
              </c:numCache>
            </c:numRef>
          </c:val>
          <c:smooth val="0"/>
        </c:ser>
        <c:ser>
          <c:idx val="1"/>
          <c:order val="1"/>
          <c:tx>
            <c:strRef>
              <c:f>'NPV comparisons'!$C$1</c:f>
              <c:strCache>
                <c:ptCount val="1"/>
                <c:pt idx="0">
                  <c:v>SW SF</c:v>
                </c:pt>
              </c:strCache>
            </c:strRef>
          </c:tx>
          <c:marker>
            <c:symbol val="none"/>
          </c:marker>
          <c:cat>
            <c:numRef>
              <c:f>'NPV comparisons'!$A$2:$A$32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'NPV comparisons'!$C$2:$C$32</c:f>
              <c:numCache>
                <c:formatCode>_(* #,##0_);_(* \(#,##0\);_(* "-"??_);_(@_)</c:formatCode>
                <c:ptCount val="31"/>
                <c:pt idx="0">
                  <c:v>608234.78805349965</c:v>
                </c:pt>
                <c:pt idx="1">
                  <c:v>585965.83169510472</c:v>
                </c:pt>
                <c:pt idx="2">
                  <c:v>563028.80664595764</c:v>
                </c:pt>
                <c:pt idx="3">
                  <c:v>541598.6708453364</c:v>
                </c:pt>
                <c:pt idx="4">
                  <c:v>521720.63097069674</c:v>
                </c:pt>
                <c:pt idx="5">
                  <c:v>496856.24989981763</c:v>
                </c:pt>
                <c:pt idx="6">
                  <c:v>475635.93739681208</c:v>
                </c:pt>
                <c:pt idx="7">
                  <c:v>449389.01551871648</c:v>
                </c:pt>
                <c:pt idx="8">
                  <c:v>426744.68598427798</c:v>
                </c:pt>
                <c:pt idx="9">
                  <c:v>399031.0265638064</c:v>
                </c:pt>
                <c:pt idx="10">
                  <c:v>374875.95736072049</c:v>
                </c:pt>
                <c:pt idx="11">
                  <c:v>354386.2360815421</c:v>
                </c:pt>
                <c:pt idx="12">
                  <c:v>335476.82316398836</c:v>
                </c:pt>
                <c:pt idx="13">
                  <c:v>318195.12785890809</c:v>
                </c:pt>
                <c:pt idx="14">
                  <c:v>304784.98169467528</c:v>
                </c:pt>
                <c:pt idx="15">
                  <c:v>286582.53114551556</c:v>
                </c:pt>
                <c:pt idx="16">
                  <c:v>267834.00707988103</c:v>
                </c:pt>
                <c:pt idx="17">
                  <c:v>252913.02729227749</c:v>
                </c:pt>
                <c:pt idx="18">
                  <c:v>235349.41811104582</c:v>
                </c:pt>
                <c:pt idx="19">
                  <c:v>210673.90065437721</c:v>
                </c:pt>
                <c:pt idx="20">
                  <c:v>180868.11767400854</c:v>
                </c:pt>
                <c:pt idx="21">
                  <c:v>158948.16120422876</c:v>
                </c:pt>
                <c:pt idx="22">
                  <c:v>140760.60604035566</c:v>
                </c:pt>
                <c:pt idx="23">
                  <c:v>113247.4242215663</c:v>
                </c:pt>
                <c:pt idx="24">
                  <c:v>93688.846948213308</c:v>
                </c:pt>
                <c:pt idx="25">
                  <c:v>77933.512356659703</c:v>
                </c:pt>
                <c:pt idx="26">
                  <c:v>57315.517727359504</c:v>
                </c:pt>
                <c:pt idx="27">
                  <c:v>38273.983259180291</c:v>
                </c:pt>
                <c:pt idx="28">
                  <c:v>25246.202756955721</c:v>
                </c:pt>
                <c:pt idx="29">
                  <c:v>16217.588839664408</c:v>
                </c:pt>
                <c:pt idx="30">
                  <c:v>7796.1165048543544</c:v>
                </c:pt>
              </c:numCache>
            </c:numRef>
          </c:val>
          <c:smooth val="0"/>
        </c:ser>
        <c:ser>
          <c:idx val="2"/>
          <c:order val="2"/>
          <c:tx>
            <c:strRef>
              <c:f>'NPV comparisons'!$D$1</c:f>
              <c:strCache>
                <c:ptCount val="1"/>
                <c:pt idx="0">
                  <c:v>WW CC w/recovery</c:v>
                </c:pt>
              </c:strCache>
            </c:strRef>
          </c:tx>
          <c:marker>
            <c:symbol val="none"/>
          </c:marker>
          <c:cat>
            <c:numRef>
              <c:f>'NPV comparisons'!$A$2:$A$32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'NPV comparisons'!$D$2:$D$32</c:f>
              <c:numCache>
                <c:formatCode>_(* #,##0_);_(* \(#,##0\);_(* "-"??_);_(@_)</c:formatCode>
                <c:ptCount val="31"/>
                <c:pt idx="0">
                  <c:v>815703.00183632702</c:v>
                </c:pt>
                <c:pt idx="1">
                  <c:v>811079.8725637797</c:v>
                </c:pt>
                <c:pt idx="2">
                  <c:v>806318.049413056</c:v>
                </c:pt>
                <c:pt idx="3">
                  <c:v>805613.37156781019</c:v>
                </c:pt>
                <c:pt idx="4">
                  <c:v>809087.55338720733</c:v>
                </c:pt>
                <c:pt idx="5">
                  <c:v>804265.96066118637</c:v>
                </c:pt>
                <c:pt idx="6">
                  <c:v>807699.72015338438</c:v>
                </c:pt>
                <c:pt idx="7">
                  <c:v>802836.492430349</c:v>
                </c:pt>
                <c:pt idx="8">
                  <c:v>806227.367875622</c:v>
                </c:pt>
                <c:pt idx="9">
                  <c:v>801319.96958425338</c:v>
                </c:pt>
                <c:pt idx="10">
                  <c:v>804665.34934414388</c:v>
                </c:pt>
                <c:pt idx="11">
                  <c:v>816511.09049683099</c:v>
                </c:pt>
                <c:pt idx="12">
                  <c:v>832912.20388409868</c:v>
                </c:pt>
                <c:pt idx="13">
                  <c:v>854005.35067298415</c:v>
                </c:pt>
                <c:pt idx="14">
                  <c:v>884131.29186553648</c:v>
                </c:pt>
                <c:pt idx="15">
                  <c:v>906761.01129386527</c:v>
                </c:pt>
                <c:pt idx="16">
                  <c:v>899043.84163268143</c:v>
                </c:pt>
                <c:pt idx="17">
                  <c:v>897815.15688166197</c:v>
                </c:pt>
                <c:pt idx="18">
                  <c:v>888149.6115881115</c:v>
                </c:pt>
                <c:pt idx="19">
                  <c:v>869794.09993575513</c:v>
                </c:pt>
                <c:pt idx="20">
                  <c:v>842487.92293382774</c:v>
                </c:pt>
                <c:pt idx="21">
                  <c:v>805962.56062184263</c:v>
                </c:pt>
                <c:pt idx="22">
                  <c:v>755741.4374404978</c:v>
                </c:pt>
                <c:pt idx="23">
                  <c:v>691413.68056371284</c:v>
                </c:pt>
                <c:pt idx="24">
                  <c:v>629356.09098062431</c:v>
                </c:pt>
                <c:pt idx="25">
                  <c:v>552836.77371004294</c:v>
                </c:pt>
                <c:pt idx="26">
                  <c:v>478221.87692134426</c:v>
                </c:pt>
                <c:pt idx="27">
                  <c:v>388768.53322898457</c:v>
                </c:pt>
                <c:pt idx="28">
                  <c:v>300831.58922585414</c:v>
                </c:pt>
                <c:pt idx="29">
                  <c:v>201856.5369026298</c:v>
                </c:pt>
                <c:pt idx="30">
                  <c:v>101592.23300970868</c:v>
                </c:pt>
              </c:numCache>
            </c:numRef>
          </c:val>
          <c:smooth val="0"/>
        </c:ser>
        <c:ser>
          <c:idx val="3"/>
          <c:order val="3"/>
          <c:tx>
            <c:strRef>
              <c:f>'NPV comparisons'!$E$1</c:f>
              <c:strCache>
                <c:ptCount val="1"/>
                <c:pt idx="0">
                  <c:v>WW CC no recovery</c:v>
                </c:pt>
              </c:strCache>
            </c:strRef>
          </c:tx>
          <c:marker>
            <c:symbol val="none"/>
          </c:marker>
          <c:cat>
            <c:numRef>
              <c:f>'NPV comparisons'!$A$2:$A$32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'NPV comparisons'!$E$2:$E$32</c:f>
              <c:numCache>
                <c:formatCode>0</c:formatCode>
                <c:ptCount val="31"/>
                <c:pt idx="0">
                  <c:v>445330.9321079076</c:v>
                </c:pt>
                <c:pt idx="1">
                  <c:v>429596.6407435076</c:v>
                </c:pt>
                <c:pt idx="2">
                  <c:v>413390.32063817541</c:v>
                </c:pt>
                <c:pt idx="3">
                  <c:v>400897.81092968362</c:v>
                </c:pt>
                <c:pt idx="4">
                  <c:v>392230.52592993685</c:v>
                </c:pt>
                <c:pt idx="5">
                  <c:v>374903.22238019761</c:v>
                </c:pt>
                <c:pt idx="6">
                  <c:v>365456.09972396621</c:v>
                </c:pt>
                <c:pt idx="7">
                  <c:v>347325.56338804803</c:v>
                </c:pt>
                <c:pt idx="8">
                  <c:v>337051.11096205207</c:v>
                </c:pt>
                <c:pt idx="9">
                  <c:v>318068.42496327643</c:v>
                </c:pt>
                <c:pt idx="10">
                  <c:v>306916.25838453748</c:v>
                </c:pt>
                <c:pt idx="11">
                  <c:v>303829.52680843632</c:v>
                </c:pt>
                <c:pt idx="12">
                  <c:v>304850.19328505208</c:v>
                </c:pt>
                <c:pt idx="13">
                  <c:v>310101.47975596634</c:v>
                </c:pt>
                <c:pt idx="14">
                  <c:v>323910.30482100806</c:v>
                </c:pt>
                <c:pt idx="15">
                  <c:v>329733.3946380011</c:v>
                </c:pt>
                <c:pt idx="16">
                  <c:v>304705.39647714107</c:v>
                </c:pt>
                <c:pt idx="17">
                  <c:v>287326.55837145541</c:v>
                </c:pt>
                <c:pt idx="18">
                  <c:v>265226.35512259899</c:v>
                </c:pt>
                <c:pt idx="19">
                  <c:v>229863.145776277</c:v>
                </c:pt>
                <c:pt idx="20">
                  <c:v>185039.04014956529</c:v>
                </c:pt>
                <c:pt idx="21">
                  <c:v>155670.21135405224</c:v>
                </c:pt>
                <c:pt idx="22">
                  <c:v>133820.31769467381</c:v>
                </c:pt>
                <c:pt idx="23">
                  <c:v>94514.927225514053</c:v>
                </c:pt>
                <c:pt idx="24">
                  <c:v>70830.375042279484</c:v>
                </c:pt>
                <c:pt idx="25">
                  <c:v>54835.28629354787</c:v>
                </c:pt>
                <c:pt idx="26">
                  <c:v>29960.344882354308</c:v>
                </c:pt>
                <c:pt idx="27">
                  <c:v>8539.1552288249331</c:v>
                </c:pt>
                <c:pt idx="28">
                  <c:v>-924.67011431031813</c:v>
                </c:pt>
                <c:pt idx="29">
                  <c:v>-2272.4102177396276</c:v>
                </c:pt>
                <c:pt idx="30">
                  <c:v>-1980.5825242718163</c:v>
                </c:pt>
              </c:numCache>
            </c:numRef>
          </c:val>
          <c:smooth val="0"/>
        </c:ser>
        <c:ser>
          <c:idx val="5"/>
          <c:order val="4"/>
          <c:tx>
            <c:strRef>
              <c:f>'NPV comparisons'!$E$1</c:f>
              <c:strCache>
                <c:ptCount val="1"/>
                <c:pt idx="0">
                  <c:v>WW CC no recovery</c:v>
                </c:pt>
              </c:strCache>
            </c:strRef>
          </c:tx>
          <c:marker>
            <c:symbol val="none"/>
          </c:marker>
          <c:val>
            <c:numRef>
              <c:f>'NPV comparisons'!$E$2:$E$32</c:f>
              <c:numCache>
                <c:formatCode>0</c:formatCode>
                <c:ptCount val="31"/>
                <c:pt idx="0">
                  <c:v>445330.9321079076</c:v>
                </c:pt>
                <c:pt idx="1">
                  <c:v>429596.6407435076</c:v>
                </c:pt>
                <c:pt idx="2">
                  <c:v>413390.32063817541</c:v>
                </c:pt>
                <c:pt idx="3">
                  <c:v>400897.81092968362</c:v>
                </c:pt>
                <c:pt idx="4">
                  <c:v>392230.52592993685</c:v>
                </c:pt>
                <c:pt idx="5">
                  <c:v>374903.22238019761</c:v>
                </c:pt>
                <c:pt idx="6">
                  <c:v>365456.09972396621</c:v>
                </c:pt>
                <c:pt idx="7">
                  <c:v>347325.56338804803</c:v>
                </c:pt>
                <c:pt idx="8">
                  <c:v>337051.11096205207</c:v>
                </c:pt>
                <c:pt idx="9">
                  <c:v>318068.42496327643</c:v>
                </c:pt>
                <c:pt idx="10">
                  <c:v>306916.25838453748</c:v>
                </c:pt>
                <c:pt idx="11">
                  <c:v>303829.52680843632</c:v>
                </c:pt>
                <c:pt idx="12">
                  <c:v>304850.19328505208</c:v>
                </c:pt>
                <c:pt idx="13">
                  <c:v>310101.47975596634</c:v>
                </c:pt>
                <c:pt idx="14">
                  <c:v>323910.30482100806</c:v>
                </c:pt>
                <c:pt idx="15">
                  <c:v>329733.3946380011</c:v>
                </c:pt>
                <c:pt idx="16">
                  <c:v>304705.39647714107</c:v>
                </c:pt>
                <c:pt idx="17">
                  <c:v>287326.55837145541</c:v>
                </c:pt>
                <c:pt idx="18">
                  <c:v>265226.35512259899</c:v>
                </c:pt>
                <c:pt idx="19">
                  <c:v>229863.145776277</c:v>
                </c:pt>
                <c:pt idx="20">
                  <c:v>185039.04014956529</c:v>
                </c:pt>
                <c:pt idx="21">
                  <c:v>155670.21135405224</c:v>
                </c:pt>
                <c:pt idx="22">
                  <c:v>133820.31769467381</c:v>
                </c:pt>
                <c:pt idx="23">
                  <c:v>94514.927225514053</c:v>
                </c:pt>
                <c:pt idx="24">
                  <c:v>70830.375042279484</c:v>
                </c:pt>
                <c:pt idx="25">
                  <c:v>54835.28629354787</c:v>
                </c:pt>
                <c:pt idx="26">
                  <c:v>29960.344882354308</c:v>
                </c:pt>
                <c:pt idx="27">
                  <c:v>8539.1552288249331</c:v>
                </c:pt>
                <c:pt idx="28">
                  <c:v>-924.67011431031813</c:v>
                </c:pt>
                <c:pt idx="29">
                  <c:v>-2272.4102177396276</c:v>
                </c:pt>
                <c:pt idx="30">
                  <c:v>-1980.5825242718163</c:v>
                </c:pt>
              </c:numCache>
            </c:numRef>
          </c:val>
          <c:smooth val="0"/>
        </c:ser>
        <c:dLbls>
          <c:showLegendKey val="0"/>
          <c:showVal val="0"/>
          <c:showCatName val="0"/>
          <c:showSerName val="0"/>
          <c:showPercent val="0"/>
          <c:showBubbleSize val="0"/>
        </c:dLbls>
        <c:marker val="1"/>
        <c:smooth val="0"/>
        <c:axId val="135181056"/>
        <c:axId val="135182592"/>
      </c:lineChart>
      <c:catAx>
        <c:axId val="135181056"/>
        <c:scaling>
          <c:orientation val="minMax"/>
        </c:scaling>
        <c:delete val="0"/>
        <c:axPos val="b"/>
        <c:numFmt formatCode="General" sourceLinked="1"/>
        <c:majorTickMark val="out"/>
        <c:minorTickMark val="none"/>
        <c:tickLblPos val="low"/>
        <c:crossAx val="135182592"/>
        <c:crosses val="autoZero"/>
        <c:auto val="1"/>
        <c:lblAlgn val="ctr"/>
        <c:lblOffset val="100"/>
        <c:noMultiLvlLbl val="0"/>
      </c:catAx>
      <c:valAx>
        <c:axId val="135182592"/>
        <c:scaling>
          <c:orientation val="minMax"/>
        </c:scaling>
        <c:delete val="0"/>
        <c:axPos val="l"/>
        <c:majorGridlines/>
        <c:numFmt formatCode="_(* #,##0_);_(* \(#,##0\);_(* &quot;-&quot;??_);_(@_)" sourceLinked="1"/>
        <c:majorTickMark val="out"/>
        <c:minorTickMark val="none"/>
        <c:tickLblPos val="nextTo"/>
        <c:crossAx val="135181056"/>
        <c:crosses val="autoZero"/>
        <c:crossBetween val="between"/>
      </c:valAx>
    </c:plotArea>
    <c:legend>
      <c:legendPos val="b"/>
      <c:legendEntry>
        <c:idx val="3"/>
        <c:delete val="1"/>
      </c:legendEntry>
      <c:layout/>
      <c:overlay val="0"/>
    </c:legend>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 Change</a:t>
            </a:r>
          </a:p>
        </c:rich>
      </c:tx>
      <c:layout/>
      <c:overlay val="1"/>
    </c:title>
    <c:autoTitleDeleted val="0"/>
    <c:plotArea>
      <c:layout/>
      <c:lineChart>
        <c:grouping val="standard"/>
        <c:varyColors val="0"/>
        <c:ser>
          <c:idx val="1"/>
          <c:order val="0"/>
          <c:tx>
            <c:strRef>
              <c:f>'NPV comparisons'!$P$1</c:f>
              <c:strCache>
                <c:ptCount val="1"/>
                <c:pt idx="0">
                  <c:v>SW CC</c:v>
                </c:pt>
              </c:strCache>
            </c:strRef>
          </c:tx>
          <c:marker>
            <c:symbol val="none"/>
          </c:marker>
          <c:cat>
            <c:numRef>
              <c:f>'NPV comparisons'!$O$2:$O$32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'NPV comparisons'!$P$2:$P$32</c:f>
              <c:numCache>
                <c:formatCode>0</c:formatCode>
                <c:ptCount val="31"/>
                <c:pt idx="0">
                  <c:v>1316245.0546439635</c:v>
                </c:pt>
                <c:pt idx="1">
                  <c:v>1293580.4062832822</c:v>
                </c:pt>
                <c:pt idx="2">
                  <c:v>1287795.818471781</c:v>
                </c:pt>
                <c:pt idx="3">
                  <c:v>1281837.6930259345</c:v>
                </c:pt>
                <c:pt idx="4">
                  <c:v>1266920.823816712</c:v>
                </c:pt>
                <c:pt idx="5">
                  <c:v>1242776.4485312137</c:v>
                </c:pt>
                <c:pt idx="6">
                  <c:v>1226687.7419871502</c:v>
                </c:pt>
                <c:pt idx="7">
                  <c:v>1183776.3742467649</c:v>
                </c:pt>
                <c:pt idx="8">
                  <c:v>1157137.6654741678</c:v>
                </c:pt>
                <c:pt idx="9">
                  <c:v>1138479.7954383933</c:v>
                </c:pt>
                <c:pt idx="10">
                  <c:v>1084142.1893015448</c:v>
                </c:pt>
                <c:pt idx="11">
                  <c:v>1010614.4549805912</c:v>
                </c:pt>
                <c:pt idx="12">
                  <c:v>961220.88863000879</c:v>
                </c:pt>
                <c:pt idx="13">
                  <c:v>927905.5152889092</c:v>
                </c:pt>
                <c:pt idx="14">
                  <c:v>911150.68074757641</c:v>
                </c:pt>
                <c:pt idx="15">
                  <c:v>885113.20117000386</c:v>
                </c:pt>
                <c:pt idx="16">
                  <c:v>840734.59720510407</c:v>
                </c:pt>
                <c:pt idx="17">
                  <c:v>795024.63512125704</c:v>
                </c:pt>
                <c:pt idx="18">
                  <c:v>756723.374174895</c:v>
                </c:pt>
                <c:pt idx="19">
                  <c:v>699713.07540014165</c:v>
                </c:pt>
                <c:pt idx="20">
                  <c:v>632212.46766214597</c:v>
                </c:pt>
                <c:pt idx="21">
                  <c:v>580246.84169201052</c:v>
                </c:pt>
                <c:pt idx="22">
                  <c:v>544282.24694277078</c:v>
                </c:pt>
                <c:pt idx="23">
                  <c:v>516018.71435105399</c:v>
                </c:pt>
                <c:pt idx="24">
                  <c:v>451787.2757815856</c:v>
                </c:pt>
                <c:pt idx="25">
                  <c:v>394408.89405503322</c:v>
                </c:pt>
                <c:pt idx="26">
                  <c:v>317749.16087668424</c:v>
                </c:pt>
                <c:pt idx="27">
                  <c:v>256349.63570298481</c:v>
                </c:pt>
                <c:pt idx="28">
                  <c:v>184328.12477407433</c:v>
                </c:pt>
                <c:pt idx="29">
                  <c:v>118925.96851729658</c:v>
                </c:pt>
                <c:pt idx="30">
                  <c:v>60341.747572815504</c:v>
                </c:pt>
              </c:numCache>
            </c:numRef>
          </c:val>
          <c:smooth val="0"/>
        </c:ser>
        <c:ser>
          <c:idx val="2"/>
          <c:order val="1"/>
          <c:tx>
            <c:strRef>
              <c:f>'NPV comparisons'!$Q$1</c:f>
              <c:strCache>
                <c:ptCount val="1"/>
                <c:pt idx="0">
                  <c:v>SW SF</c:v>
                </c:pt>
              </c:strCache>
            </c:strRef>
          </c:tx>
          <c:marker>
            <c:symbol val="none"/>
          </c:marker>
          <c:cat>
            <c:numRef>
              <c:f>'NPV comparisons'!$O$2:$O$32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'NPV comparisons'!$Q$2:$Q$32</c:f>
              <c:numCache>
                <c:formatCode>0</c:formatCode>
                <c:ptCount val="31"/>
                <c:pt idx="0">
                  <c:v>855202.56439349137</c:v>
                </c:pt>
                <c:pt idx="1">
                  <c:v>840342.64132529602</c:v>
                </c:pt>
                <c:pt idx="2">
                  <c:v>825036.92056505487</c:v>
                </c:pt>
                <c:pt idx="3">
                  <c:v>818052.02818200667</c:v>
                </c:pt>
                <c:pt idx="4">
                  <c:v>806467.58902746683</c:v>
                </c:pt>
                <c:pt idx="5">
                  <c:v>790145.61669829092</c:v>
                </c:pt>
                <c:pt idx="6">
                  <c:v>777723.98519923957</c:v>
                </c:pt>
                <c:pt idx="7">
                  <c:v>751759.70475521672</c:v>
                </c:pt>
                <c:pt idx="8">
                  <c:v>733796.49589787342</c:v>
                </c:pt>
                <c:pt idx="9">
                  <c:v>719684.39077480952</c:v>
                </c:pt>
                <c:pt idx="10">
                  <c:v>687588.92249805387</c:v>
                </c:pt>
                <c:pt idx="11">
                  <c:v>645750.59017299546</c:v>
                </c:pt>
                <c:pt idx="12">
                  <c:v>615827.10787818546</c:v>
                </c:pt>
                <c:pt idx="13">
                  <c:v>593785.921114531</c:v>
                </c:pt>
                <c:pt idx="14">
                  <c:v>579863.49874796707</c:v>
                </c:pt>
                <c:pt idx="15">
                  <c:v>561133.40371040592</c:v>
                </c:pt>
                <c:pt idx="16">
                  <c:v>533061.40582171828</c:v>
                </c:pt>
                <c:pt idx="17">
                  <c:v>504147.24799636984</c:v>
                </c:pt>
                <c:pt idx="18">
                  <c:v>478755.66543626093</c:v>
                </c:pt>
                <c:pt idx="19">
                  <c:v>443822.3353993487</c:v>
                </c:pt>
                <c:pt idx="20">
                  <c:v>403451.00546132925</c:v>
                </c:pt>
                <c:pt idx="21">
                  <c:v>370648.53562516923</c:v>
                </c:pt>
                <c:pt idx="22">
                  <c:v>345641.9916939243</c:v>
                </c:pt>
                <c:pt idx="23">
                  <c:v>324275.25144474191</c:v>
                </c:pt>
                <c:pt idx="24">
                  <c:v>284707.50898808421</c:v>
                </c:pt>
                <c:pt idx="25">
                  <c:v>248342.73425772676</c:v>
                </c:pt>
                <c:pt idx="26">
                  <c:v>202107.01628545858</c:v>
                </c:pt>
                <c:pt idx="27">
                  <c:v>163264.2267740223</c:v>
                </c:pt>
                <c:pt idx="28">
                  <c:v>118866.15357724299</c:v>
                </c:pt>
                <c:pt idx="29">
                  <c:v>77526.138184560288</c:v>
                </c:pt>
                <c:pt idx="30">
                  <c:v>39335.922330097084</c:v>
                </c:pt>
              </c:numCache>
            </c:numRef>
          </c:val>
          <c:smooth val="0"/>
        </c:ser>
        <c:ser>
          <c:idx val="3"/>
          <c:order val="2"/>
          <c:tx>
            <c:strRef>
              <c:f>'NPV comparisons'!$R$1</c:f>
              <c:strCache>
                <c:ptCount val="1"/>
                <c:pt idx="0">
                  <c:v>WW CC</c:v>
                </c:pt>
              </c:strCache>
            </c:strRef>
          </c:tx>
          <c:marker>
            <c:symbol val="none"/>
          </c:marker>
          <c:cat>
            <c:numRef>
              <c:f>'NPV comparisons'!$O$2:$O$32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'NPV comparisons'!$R$2:$R$32</c:f>
              <c:numCache>
                <c:formatCode>0</c:formatCode>
                <c:ptCount val="31"/>
                <c:pt idx="0">
                  <c:v>922673.35029242525</c:v>
                </c:pt>
                <c:pt idx="1">
                  <c:v>921259.331473561</c:v>
                </c:pt>
                <c:pt idx="2">
                  <c:v>919802.89209013036</c:v>
                </c:pt>
                <c:pt idx="3">
                  <c:v>935102.75952519698</c:v>
                </c:pt>
                <c:pt idx="4">
                  <c:v>942461.62298331561</c:v>
                </c:pt>
                <c:pt idx="5">
                  <c:v>941641.25234517781</c:v>
                </c:pt>
                <c:pt idx="6">
                  <c:v>949196.27058789588</c:v>
                </c:pt>
                <c:pt idx="7">
                  <c:v>931777.93937789579</c:v>
                </c:pt>
                <c:pt idx="8">
                  <c:v>930637.05823159555</c:v>
                </c:pt>
                <c:pt idx="9">
                  <c:v>937861.95065090596</c:v>
                </c:pt>
                <c:pt idx="10">
                  <c:v>911703.58984279586</c:v>
                </c:pt>
                <c:pt idx="11">
                  <c:v>867960.47821044258</c:v>
                </c:pt>
                <c:pt idx="12">
                  <c:v>848105.0732291186</c:v>
                </c:pt>
                <c:pt idx="13">
                  <c:v>844454.00609835482</c:v>
                </c:pt>
                <c:pt idx="14">
                  <c:v>857493.40695366811</c:v>
                </c:pt>
                <c:pt idx="15">
                  <c:v>862523.98983464099</c:v>
                </c:pt>
                <c:pt idx="16">
                  <c:v>819879.70952968008</c:v>
                </c:pt>
                <c:pt idx="17">
                  <c:v>775956.10081557056</c:v>
                </c:pt>
                <c:pt idx="18">
                  <c:v>739114.78384003777</c:v>
                </c:pt>
                <c:pt idx="19">
                  <c:v>684368.22735523875</c:v>
                </c:pt>
                <c:pt idx="20">
                  <c:v>619579.27417589608</c:v>
                </c:pt>
                <c:pt idx="21">
                  <c:v>569646.65240117302</c:v>
                </c:pt>
                <c:pt idx="22">
                  <c:v>535016.0519732082</c:v>
                </c:pt>
                <c:pt idx="23">
                  <c:v>507746.53353240446</c:v>
                </c:pt>
                <c:pt idx="24">
                  <c:v>446058.92953837651</c:v>
                </c:pt>
                <c:pt idx="25">
                  <c:v>390920.69742452784</c:v>
                </c:pt>
                <c:pt idx="26">
                  <c:v>317328.31834726373</c:v>
                </c:pt>
                <c:pt idx="27">
                  <c:v>258328.16789768165</c:v>
                </c:pt>
                <c:pt idx="28">
                  <c:v>189158.01293461211</c:v>
                </c:pt>
                <c:pt idx="29">
                  <c:v>126312.75332265046</c:v>
                </c:pt>
                <c:pt idx="30">
                  <c:v>63262.135922330039</c:v>
                </c:pt>
              </c:numCache>
            </c:numRef>
          </c:val>
          <c:smooth val="0"/>
        </c:ser>
        <c:ser>
          <c:idx val="4"/>
          <c:order val="3"/>
          <c:tx>
            <c:strRef>
              <c:f>'NPV comparisons'!$S$1</c:f>
              <c:strCache>
                <c:ptCount val="1"/>
              </c:strCache>
            </c:strRef>
          </c:tx>
          <c:marker>
            <c:symbol val="none"/>
          </c:marker>
          <c:cat>
            <c:numRef>
              <c:f>'NPV comparisons'!$O$2:$O$32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'NPV comparisons'!$S$2:$S$32</c:f>
              <c:numCache>
                <c:formatCode>0</c:formatCode>
                <c:ptCount val="31"/>
              </c:numCache>
            </c:numRef>
          </c:val>
          <c:smooth val="0"/>
        </c:ser>
        <c:dLbls>
          <c:showLegendKey val="0"/>
          <c:showVal val="0"/>
          <c:showCatName val="0"/>
          <c:showSerName val="0"/>
          <c:showPercent val="0"/>
          <c:showBubbleSize val="0"/>
        </c:dLbls>
        <c:marker val="1"/>
        <c:smooth val="0"/>
        <c:axId val="134896256"/>
        <c:axId val="134898048"/>
      </c:lineChart>
      <c:catAx>
        <c:axId val="134896256"/>
        <c:scaling>
          <c:orientation val="minMax"/>
        </c:scaling>
        <c:delete val="0"/>
        <c:axPos val="b"/>
        <c:numFmt formatCode="General" sourceLinked="1"/>
        <c:majorTickMark val="out"/>
        <c:minorTickMark val="none"/>
        <c:tickLblPos val="nextTo"/>
        <c:crossAx val="134898048"/>
        <c:crosses val="autoZero"/>
        <c:auto val="1"/>
        <c:lblAlgn val="ctr"/>
        <c:lblOffset val="100"/>
        <c:noMultiLvlLbl val="0"/>
      </c:catAx>
      <c:valAx>
        <c:axId val="134898048"/>
        <c:scaling>
          <c:orientation val="minMax"/>
        </c:scaling>
        <c:delete val="0"/>
        <c:axPos val="l"/>
        <c:majorGridlines/>
        <c:numFmt formatCode="0" sourceLinked="1"/>
        <c:majorTickMark val="out"/>
        <c:minorTickMark val="none"/>
        <c:tickLblPos val="nextTo"/>
        <c:crossAx val="134896256"/>
        <c:crosses val="autoZero"/>
        <c:crossBetween val="between"/>
      </c:valAx>
    </c:plotArea>
    <c:legend>
      <c:legendPos val="b"/>
      <c:legendEntry>
        <c:idx val="3"/>
        <c:delete val="1"/>
      </c:legendEntry>
      <c:layout/>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1294838145245"/>
          <c:y val="4.2096448787275087E-2"/>
          <c:w val="0.77054476523767867"/>
          <c:h val="0.89311404810540551"/>
        </c:manualLayout>
      </c:layout>
      <c:lineChart>
        <c:grouping val="standard"/>
        <c:varyColors val="0"/>
        <c:ser>
          <c:idx val="1"/>
          <c:order val="0"/>
          <c:tx>
            <c:strRef>
              <c:f>'NPV comparisons'!$V$10</c:f>
              <c:strCache>
                <c:ptCount val="1"/>
                <c:pt idx="0">
                  <c:v>SW CC</c:v>
                </c:pt>
              </c:strCache>
            </c:strRef>
          </c:tx>
          <c:marker>
            <c:symbol val="none"/>
          </c:marker>
          <c:cat>
            <c:numRef>
              <c:f>'NPV comparisons'!$U$11:$U$20</c:f>
              <c:numCache>
                <c:formatCode>0.0</c:formatCode>
                <c:ptCount val="10"/>
                <c:pt idx="0">
                  <c:v>0.1</c:v>
                </c:pt>
                <c:pt idx="1">
                  <c:v>0.2</c:v>
                </c:pt>
                <c:pt idx="2">
                  <c:v>0.3</c:v>
                </c:pt>
                <c:pt idx="3">
                  <c:v>0.4</c:v>
                </c:pt>
                <c:pt idx="4">
                  <c:v>0.5</c:v>
                </c:pt>
                <c:pt idx="5">
                  <c:v>0.6</c:v>
                </c:pt>
                <c:pt idx="6">
                  <c:v>0.7</c:v>
                </c:pt>
                <c:pt idx="7">
                  <c:v>0.8</c:v>
                </c:pt>
                <c:pt idx="8">
                  <c:v>0.9</c:v>
                </c:pt>
                <c:pt idx="9">
                  <c:v>1</c:v>
                </c:pt>
              </c:numCache>
            </c:numRef>
          </c:cat>
          <c:val>
            <c:numRef>
              <c:f>'NPV comparisons'!$V$11:$V$20</c:f>
              <c:numCache>
                <c:formatCode>0</c:formatCode>
                <c:ptCount val="10"/>
                <c:pt idx="0">
                  <c:v>1268719.5181527557</c:v>
                </c:pt>
                <c:pt idx="1">
                  <c:v>1221193.9816615477</c:v>
                </c:pt>
                <c:pt idx="2">
                  <c:v>1173668.4451703397</c:v>
                </c:pt>
                <c:pt idx="3">
                  <c:v>1126142.9086791317</c:v>
                </c:pt>
                <c:pt idx="4">
                  <c:v>1078617.3721879236</c:v>
                </c:pt>
                <c:pt idx="5">
                  <c:v>1031091.8356967157</c:v>
                </c:pt>
                <c:pt idx="6">
                  <c:v>983566.29920550785</c:v>
                </c:pt>
                <c:pt idx="7">
                  <c:v>936040.76271429984</c:v>
                </c:pt>
                <c:pt idx="8">
                  <c:v>888515.22622309183</c:v>
                </c:pt>
                <c:pt idx="9">
                  <c:v>840989.68973188393</c:v>
                </c:pt>
              </c:numCache>
            </c:numRef>
          </c:val>
          <c:smooth val="0"/>
        </c:ser>
        <c:ser>
          <c:idx val="2"/>
          <c:order val="1"/>
          <c:tx>
            <c:strRef>
              <c:f>'NPV comparisons'!$W$10</c:f>
              <c:strCache>
                <c:ptCount val="1"/>
                <c:pt idx="0">
                  <c:v>SW SF</c:v>
                </c:pt>
              </c:strCache>
            </c:strRef>
          </c:tx>
          <c:marker>
            <c:symbol val="none"/>
          </c:marker>
          <c:cat>
            <c:numRef>
              <c:f>'NPV comparisons'!$U$11:$U$20</c:f>
              <c:numCache>
                <c:formatCode>0.0</c:formatCode>
                <c:ptCount val="10"/>
                <c:pt idx="0">
                  <c:v>0.1</c:v>
                </c:pt>
                <c:pt idx="1">
                  <c:v>0.2</c:v>
                </c:pt>
                <c:pt idx="2">
                  <c:v>0.3</c:v>
                </c:pt>
                <c:pt idx="3">
                  <c:v>0.4</c:v>
                </c:pt>
                <c:pt idx="4">
                  <c:v>0.5</c:v>
                </c:pt>
                <c:pt idx="5">
                  <c:v>0.6</c:v>
                </c:pt>
                <c:pt idx="6">
                  <c:v>0.7</c:v>
                </c:pt>
                <c:pt idx="7">
                  <c:v>0.8</c:v>
                </c:pt>
                <c:pt idx="8">
                  <c:v>0.9</c:v>
                </c:pt>
                <c:pt idx="9">
                  <c:v>1</c:v>
                </c:pt>
              </c:numCache>
            </c:numRef>
          </c:cat>
          <c:val>
            <c:numRef>
              <c:f>'NPV comparisons'!$W$11:$W$20</c:f>
              <c:numCache>
                <c:formatCode>0</c:formatCode>
                <c:ptCount val="10"/>
                <c:pt idx="0">
                  <c:v>830505.78675949224</c:v>
                </c:pt>
                <c:pt idx="1">
                  <c:v>805809.00912549312</c:v>
                </c:pt>
                <c:pt idx="2">
                  <c:v>781112.23149149376</c:v>
                </c:pt>
                <c:pt idx="3">
                  <c:v>756415.45385749463</c:v>
                </c:pt>
                <c:pt idx="4">
                  <c:v>731718.67622349551</c:v>
                </c:pt>
                <c:pt idx="5">
                  <c:v>707021.89858949638</c:v>
                </c:pt>
                <c:pt idx="6">
                  <c:v>682325.12095549714</c:v>
                </c:pt>
                <c:pt idx="7">
                  <c:v>657628.34332149802</c:v>
                </c:pt>
                <c:pt idx="8">
                  <c:v>632931.56568749889</c:v>
                </c:pt>
                <c:pt idx="9">
                  <c:v>608234.78805349965</c:v>
                </c:pt>
              </c:numCache>
            </c:numRef>
          </c:val>
          <c:smooth val="0"/>
        </c:ser>
        <c:ser>
          <c:idx val="3"/>
          <c:order val="2"/>
          <c:tx>
            <c:strRef>
              <c:f>'NPV comparisons'!$X$10</c:f>
              <c:strCache>
                <c:ptCount val="1"/>
                <c:pt idx="0">
                  <c:v>WW CCr</c:v>
                </c:pt>
              </c:strCache>
            </c:strRef>
          </c:tx>
          <c:marker>
            <c:symbol val="none"/>
          </c:marker>
          <c:cat>
            <c:numRef>
              <c:f>'NPV comparisons'!$U$11:$U$20</c:f>
              <c:numCache>
                <c:formatCode>0.0</c:formatCode>
                <c:ptCount val="10"/>
                <c:pt idx="0">
                  <c:v>0.1</c:v>
                </c:pt>
                <c:pt idx="1">
                  <c:v>0.2</c:v>
                </c:pt>
                <c:pt idx="2">
                  <c:v>0.3</c:v>
                </c:pt>
                <c:pt idx="3">
                  <c:v>0.4</c:v>
                </c:pt>
                <c:pt idx="4">
                  <c:v>0.5</c:v>
                </c:pt>
                <c:pt idx="5">
                  <c:v>0.6</c:v>
                </c:pt>
                <c:pt idx="6">
                  <c:v>0.7</c:v>
                </c:pt>
                <c:pt idx="7">
                  <c:v>0.8</c:v>
                </c:pt>
                <c:pt idx="8">
                  <c:v>0.9</c:v>
                </c:pt>
                <c:pt idx="9">
                  <c:v>1</c:v>
                </c:pt>
              </c:numCache>
            </c:numRef>
          </c:cat>
          <c:val>
            <c:numRef>
              <c:f>'NPV comparisons'!$X$11:$X$20</c:f>
              <c:numCache>
                <c:formatCode>0</c:formatCode>
                <c:ptCount val="10"/>
                <c:pt idx="0">
                  <c:v>782834.39346429124</c:v>
                </c:pt>
                <c:pt idx="1">
                  <c:v>777398.31612007646</c:v>
                </c:pt>
                <c:pt idx="2">
                  <c:v>771962.23877586145</c:v>
                </c:pt>
                <c:pt idx="3">
                  <c:v>766526.16143164644</c:v>
                </c:pt>
                <c:pt idx="4">
                  <c:v>761090.08408743166</c:v>
                </c:pt>
                <c:pt idx="5">
                  <c:v>755654.00674321665</c:v>
                </c:pt>
                <c:pt idx="6">
                  <c:v>750217.92939900176</c:v>
                </c:pt>
                <c:pt idx="7">
                  <c:v>744781.85205478698</c:v>
                </c:pt>
                <c:pt idx="8">
                  <c:v>739345.77471057198</c:v>
                </c:pt>
                <c:pt idx="9">
                  <c:v>733909.69736635708</c:v>
                </c:pt>
              </c:numCache>
            </c:numRef>
          </c:val>
          <c:smooth val="0"/>
        </c:ser>
        <c:ser>
          <c:idx val="4"/>
          <c:order val="3"/>
          <c:tx>
            <c:strRef>
              <c:f>'NPV comparisons'!$Y$10</c:f>
              <c:strCache>
                <c:ptCount val="1"/>
                <c:pt idx="0">
                  <c:v>WW CCnr</c:v>
                </c:pt>
              </c:strCache>
            </c:strRef>
          </c:tx>
          <c:marker>
            <c:symbol val="none"/>
          </c:marker>
          <c:cat>
            <c:numRef>
              <c:f>'NPV comparisons'!$U$11:$U$20</c:f>
              <c:numCache>
                <c:formatCode>0.0</c:formatCode>
                <c:ptCount val="10"/>
                <c:pt idx="0">
                  <c:v>0.1</c:v>
                </c:pt>
                <c:pt idx="1">
                  <c:v>0.2</c:v>
                </c:pt>
                <c:pt idx="2">
                  <c:v>0.3</c:v>
                </c:pt>
                <c:pt idx="3">
                  <c:v>0.4</c:v>
                </c:pt>
                <c:pt idx="4">
                  <c:v>0.5</c:v>
                </c:pt>
                <c:pt idx="5">
                  <c:v>0.6</c:v>
                </c:pt>
                <c:pt idx="6">
                  <c:v>0.7</c:v>
                </c:pt>
                <c:pt idx="7">
                  <c:v>0.8</c:v>
                </c:pt>
                <c:pt idx="8">
                  <c:v>0.9</c:v>
                </c:pt>
                <c:pt idx="9">
                  <c:v>1</c:v>
                </c:pt>
              </c:numCache>
            </c:numRef>
          </c:cat>
          <c:val>
            <c:numRef>
              <c:f>'NPV comparisons'!$Y$11:$Y$20</c:f>
              <c:numCache>
                <c:formatCode>0</c:formatCode>
                <c:ptCount val="10"/>
                <c:pt idx="0">
                  <c:v>740536.22899005434</c:v>
                </c:pt>
                <c:pt idx="1">
                  <c:v>692801.98717160267</c:v>
                </c:pt>
                <c:pt idx="2">
                  <c:v>645067.74535315076</c:v>
                </c:pt>
                <c:pt idx="3">
                  <c:v>597333.50353469898</c:v>
                </c:pt>
                <c:pt idx="4">
                  <c:v>549599.2617162473</c:v>
                </c:pt>
                <c:pt idx="5">
                  <c:v>501865.01989779552</c:v>
                </c:pt>
                <c:pt idx="6">
                  <c:v>454130.77807934367</c:v>
                </c:pt>
                <c:pt idx="7">
                  <c:v>406396.53626089194</c:v>
                </c:pt>
                <c:pt idx="8">
                  <c:v>358662.29444244015</c:v>
                </c:pt>
                <c:pt idx="9">
                  <c:v>310928.05262398836</c:v>
                </c:pt>
              </c:numCache>
            </c:numRef>
          </c:val>
          <c:smooth val="0"/>
        </c:ser>
        <c:dLbls>
          <c:showLegendKey val="0"/>
          <c:showVal val="0"/>
          <c:showCatName val="0"/>
          <c:showSerName val="0"/>
          <c:showPercent val="0"/>
          <c:showBubbleSize val="0"/>
        </c:dLbls>
        <c:marker val="1"/>
        <c:smooth val="0"/>
        <c:axId val="134919680"/>
        <c:axId val="134921216"/>
      </c:lineChart>
      <c:catAx>
        <c:axId val="134919680"/>
        <c:scaling>
          <c:orientation val="minMax"/>
        </c:scaling>
        <c:delete val="0"/>
        <c:axPos val="b"/>
        <c:numFmt formatCode="0.0" sourceLinked="1"/>
        <c:majorTickMark val="out"/>
        <c:minorTickMark val="none"/>
        <c:tickLblPos val="nextTo"/>
        <c:crossAx val="134921216"/>
        <c:crosses val="autoZero"/>
        <c:auto val="1"/>
        <c:lblAlgn val="ctr"/>
        <c:lblOffset val="100"/>
        <c:noMultiLvlLbl val="0"/>
      </c:catAx>
      <c:valAx>
        <c:axId val="134921216"/>
        <c:scaling>
          <c:orientation val="minMax"/>
        </c:scaling>
        <c:delete val="0"/>
        <c:axPos val="l"/>
        <c:majorGridlines/>
        <c:numFmt formatCode="0" sourceLinked="1"/>
        <c:majorTickMark val="out"/>
        <c:minorTickMark val="none"/>
        <c:tickLblPos val="nextTo"/>
        <c:crossAx val="134919680"/>
        <c:crosses val="autoZero"/>
        <c:crossBetween val="between"/>
      </c:valAx>
    </c:plotArea>
    <c:legend>
      <c:legendPos val="r"/>
      <c:layout>
        <c:manualLayout>
          <c:xMode val="edge"/>
          <c:yMode val="edge"/>
          <c:x val="0.8103607503607505"/>
          <c:y val="6.2637217612207625E-3"/>
          <c:w val="0.17520923520923551"/>
          <c:h val="0.33958510236771305"/>
        </c:manualLayout>
      </c:layout>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1</xdr:col>
      <xdr:colOff>28574</xdr:colOff>
      <xdr:row>1</xdr:row>
      <xdr:rowOff>19048</xdr:rowOff>
    </xdr:from>
    <xdr:to>
      <xdr:col>13</xdr:col>
      <xdr:colOff>323850</xdr:colOff>
      <xdr:row>49</xdr:row>
      <xdr:rowOff>171449</xdr:rowOff>
    </xdr:to>
    <xdr:sp macro="" textlink="">
      <xdr:nvSpPr>
        <xdr:cNvPr id="2" name="TextBox 1"/>
        <xdr:cNvSpPr txBox="1"/>
      </xdr:nvSpPr>
      <xdr:spPr>
        <a:xfrm>
          <a:off x="638174" y="209548"/>
          <a:ext cx="7610476" cy="929640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solidFill>
                <a:schemeClr val="dk1"/>
              </a:solidFill>
              <a:latin typeface="+mn-lt"/>
              <a:ea typeface="+mn-ea"/>
              <a:cs typeface="+mn-cs"/>
            </a:rPr>
            <a:t>The Farm Adap NPV Model</a:t>
          </a:r>
        </a:p>
        <a:p>
          <a:r>
            <a:rPr lang="en-US" sz="1400">
              <a:solidFill>
                <a:schemeClr val="dk1"/>
              </a:solidFill>
              <a:latin typeface="+mn-lt"/>
              <a:ea typeface="+mn-ea"/>
              <a:cs typeface="+mn-cs"/>
            </a:rPr>
            <a:t>This model simulates the crop enterprise of a 2,000 acre dryland wheat farm on the U.S. Great Plains.  The farm grows wheat in either continuous cropping or a fallow rotation (no other crop is produced in the fallow cycle). Our basic adaptation scenario starts</a:t>
          </a:r>
          <a:r>
            <a:rPr lang="en-US" sz="1400" baseline="0">
              <a:solidFill>
                <a:schemeClr val="dk1"/>
              </a:solidFill>
              <a:latin typeface="+mn-lt"/>
              <a:ea typeface="+mn-ea"/>
              <a:cs typeface="+mn-cs"/>
            </a:rPr>
            <a:t> with the spring wheat (SW) continuous cropping (CC) system now common in the area, and postulates adaptation as a switch to SW in a fallow cycle (t</a:t>
          </a:r>
          <a:r>
            <a:rPr lang="en-US" sz="1400">
              <a:solidFill>
                <a:schemeClr val="dk1"/>
              </a:solidFill>
              <a:latin typeface="+mn-lt"/>
              <a:ea typeface="+mn-ea"/>
              <a:cs typeface="+mn-cs"/>
            </a:rPr>
            <a:t>his method, colloquially know as "summer fallow" (SF) is employed to store moisture from the fallow year to boost yields during the crop year) in</a:t>
          </a:r>
          <a:r>
            <a:rPr lang="en-US" sz="1400" baseline="0">
              <a:solidFill>
                <a:schemeClr val="dk1"/>
              </a:solidFill>
              <a:latin typeface="+mn-lt"/>
              <a:ea typeface="+mn-ea"/>
              <a:cs typeface="+mn-cs"/>
            </a:rPr>
            <a:t> resposne to a warming and/or drying climate</a:t>
          </a:r>
          <a:r>
            <a:rPr lang="en-US" sz="1400">
              <a:solidFill>
                <a:schemeClr val="dk1"/>
              </a:solidFill>
              <a:latin typeface="+mn-lt"/>
              <a:ea typeface="+mn-ea"/>
              <a:cs typeface="+mn-cs"/>
            </a:rPr>
            <a:t>.  A fallow acre does costs something to maintain, but only a fraction of the production costs on planted acres. Data for yield, prices received, and production costs are needed to calculate an annual net return from the crop enterprise---this income is derived solely from the crop enterprise, and does not include other sources of income like government payments or insurance, nor does it account for returns on investments in land, equipment and other finance that would be included in a "whole-farm" analysis....so this is the crop production portion of the farm's accounts which one would assume is the main economic activity on the farm and the main source of income for the farmer.</a:t>
          </a:r>
        </a:p>
        <a:p>
          <a:endParaRPr lang="en-US" sz="1400">
            <a:solidFill>
              <a:schemeClr val="dk1"/>
            </a:solidFill>
            <a:latin typeface="+mn-lt"/>
            <a:ea typeface="+mn-ea"/>
            <a:cs typeface="+mn-cs"/>
          </a:endParaRPr>
        </a:p>
        <a:p>
          <a:r>
            <a:rPr lang="en-US" sz="1400">
              <a:solidFill>
                <a:schemeClr val="dk1"/>
              </a:solidFill>
              <a:latin typeface="+mn-lt"/>
              <a:ea typeface="+mn-ea"/>
              <a:cs typeface="+mn-cs"/>
            </a:rPr>
            <a:t>The data loaded in this version reflect costs and distributions of prices and base yields over 1995-2011 for dryland spring (SW) and winter wheat (WW) in central North Dakota (specifically farms in Kidder County, where the senior author did his dissertation on farmer adaptation to droughts) with aditional winter wheat yield data from South Dakota where WW is more common production system.  </a:t>
          </a:r>
        </a:p>
        <a:p>
          <a:endParaRPr lang="en-US" sz="1400">
            <a:solidFill>
              <a:schemeClr val="dk1"/>
            </a:solidFill>
            <a:latin typeface="+mn-lt"/>
            <a:ea typeface="+mn-ea"/>
            <a:cs typeface="+mn-cs"/>
          </a:endParaRPr>
        </a:p>
        <a:p>
          <a:r>
            <a:rPr lang="en-US" sz="1400">
              <a:solidFill>
                <a:schemeClr val="dk1"/>
              </a:solidFill>
              <a:latin typeface="+mn-lt"/>
              <a:ea typeface="+mn-ea"/>
              <a:cs typeface="+mn-cs"/>
            </a:rPr>
            <a:t>The model is meant to run in the </a:t>
          </a:r>
          <a:r>
            <a:rPr lang="en-US" sz="1400" i="1">
              <a:solidFill>
                <a:schemeClr val="dk1"/>
              </a:solidFill>
              <a:latin typeface="+mn-lt"/>
              <a:ea typeface="+mn-ea"/>
              <a:cs typeface="+mn-cs"/>
            </a:rPr>
            <a:t>@Risk </a:t>
          </a:r>
          <a:r>
            <a:rPr lang="en-US" sz="1400" i="0">
              <a:solidFill>
                <a:schemeClr val="dk1"/>
              </a:solidFill>
              <a:latin typeface="+mn-lt"/>
              <a:ea typeface="+mn-ea"/>
              <a:cs typeface="+mn-cs"/>
            </a:rPr>
            <a:t>add-on</a:t>
          </a:r>
          <a:r>
            <a:rPr lang="en-US" sz="1400" i="0" baseline="0">
              <a:solidFill>
                <a:schemeClr val="dk1"/>
              </a:solidFill>
              <a:latin typeface="+mn-lt"/>
              <a:ea typeface="+mn-ea"/>
              <a:cs typeface="+mn-cs"/>
            </a:rPr>
            <a:t> to Excel (see: www.palisade.com) and if you have @Risk (which can be downloaded for a free trial to run this model) the risk functions and distributions cell borders will display different colors to represent their roles in the simulation. In this version the @Risk functions have been turned off so that you see the static values in Excel .if you have @Risk you can restore the functions and run the simulations. D</a:t>
          </a:r>
          <a:r>
            <a:rPr lang="en-US" sz="1400">
              <a:solidFill>
                <a:schemeClr val="dk1"/>
              </a:solidFill>
              <a:latin typeface="+mn-lt"/>
              <a:ea typeface="+mn-ea"/>
              <a:cs typeface="+mn-cs"/>
            </a:rPr>
            <a:t>istributions have been fit to the empirical price and yield data so that the model can be simulated</a:t>
          </a:r>
          <a:r>
            <a:rPr lang="en-US" sz="1400" baseline="0">
              <a:solidFill>
                <a:schemeClr val="dk1"/>
              </a:solidFill>
              <a:latin typeface="+mn-lt"/>
              <a:ea typeface="+mn-ea"/>
              <a:cs typeface="+mn-cs"/>
            </a:rPr>
            <a:t> </a:t>
          </a:r>
          <a:r>
            <a:rPr lang="en-US" sz="1400">
              <a:solidFill>
                <a:schemeClr val="dk1"/>
              </a:solidFill>
              <a:latin typeface="+mn-lt"/>
              <a:ea typeface="+mn-ea"/>
              <a:cs typeface="+mn-cs"/>
            </a:rPr>
            <a:t>using Monte Carlo sampling of those distributions. The main analytical use of the model is to vary the yield distribution in some prescribed  manner to reflect climate variability and change.  The user does this via the Yield Shift row where entered values shift the mean of the distribution left (negative; decrease) or right (positive; increase).  We have used the model also to shift the variance or standard deviation of the yield, and have changed the fitted distribution to more skewed or otherwise shaped distributions as</a:t>
          </a:r>
          <a:r>
            <a:rPr lang="en-US" sz="1400" baseline="0">
              <a:solidFill>
                <a:schemeClr val="dk1"/>
              </a:solidFill>
              <a:latin typeface="+mn-lt"/>
              <a:ea typeface="+mn-ea"/>
              <a:cs typeface="+mn-cs"/>
            </a:rPr>
            <a:t> labeled</a:t>
          </a:r>
          <a:r>
            <a:rPr lang="en-US" sz="1400">
              <a:solidFill>
                <a:schemeClr val="dk1"/>
              </a:solidFill>
              <a:latin typeface="+mn-lt"/>
              <a:ea typeface="+mn-ea"/>
              <a:cs typeface="+mn-cs"/>
            </a:rPr>
            <a:t>.</a:t>
          </a:r>
        </a:p>
        <a:p>
          <a:endParaRPr lang="en-US" sz="1400">
            <a:solidFill>
              <a:schemeClr val="dk1"/>
            </a:solidFill>
            <a:latin typeface="+mn-lt"/>
            <a:ea typeface="+mn-ea"/>
            <a:cs typeface="+mn-cs"/>
          </a:endParaRPr>
        </a:p>
        <a:p>
          <a:r>
            <a:rPr lang="en-US" sz="1400">
              <a:solidFill>
                <a:schemeClr val="dk1"/>
              </a:solidFill>
              <a:latin typeface="+mn-lt"/>
              <a:ea typeface="+mn-ea"/>
              <a:cs typeface="+mn-cs"/>
            </a:rPr>
            <a:t>The main output is net returns (Net) for each year of the simulation which is then translated into net present value (NPV) for that year outward to the end of the simulation. NPV is then used to compare adaptations</a:t>
          </a:r>
          <a:r>
            <a:rPr lang="en-US" sz="1400" baseline="0">
              <a:solidFill>
                <a:schemeClr val="dk1"/>
              </a:solidFill>
              <a:latin typeface="+mn-lt"/>
              <a:ea typeface="+mn-ea"/>
              <a:cs typeface="+mn-cs"/>
            </a:rPr>
            <a:t> under different climate change scenarios.</a:t>
          </a:r>
          <a:endParaRPr lang="en-US" sz="1400">
            <a:solidFill>
              <a:schemeClr val="dk1"/>
            </a:solidFill>
            <a:latin typeface="+mn-lt"/>
            <a:ea typeface="+mn-ea"/>
            <a:cs typeface="+mn-cs"/>
          </a:endParaRPr>
        </a:p>
        <a:p>
          <a:endParaRPr lang="en-US" sz="1400">
            <a:solidFill>
              <a:schemeClr val="dk1"/>
            </a:solidFill>
            <a:latin typeface="+mn-lt"/>
            <a:ea typeface="+mn-ea"/>
            <a:cs typeface="+mn-cs"/>
          </a:endParaRPr>
        </a:p>
        <a:p>
          <a:r>
            <a:rPr lang="en-US" sz="1400">
              <a:solidFill>
                <a:schemeClr val="dk1"/>
              </a:solidFill>
              <a:latin typeface="+mn-lt"/>
              <a:ea typeface="+mn-ea"/>
              <a:cs typeface="+mn-cs"/>
            </a:rPr>
            <a:t>The model was described and applied in:</a:t>
          </a:r>
          <a:r>
            <a:rPr lang="en-US" sz="1400" baseline="0">
              <a:solidFill>
                <a:schemeClr val="dk1"/>
              </a:solidFill>
              <a:latin typeface="+mn-lt"/>
              <a:ea typeface="+mn-ea"/>
              <a:cs typeface="+mn-cs"/>
            </a:rPr>
            <a:t> Travis, W.R., Huisenga, M.T. (2013) The effect of rate of change, variability, and extreme events on the pace of adaptation to a changing climate. </a:t>
          </a:r>
          <a:r>
            <a:rPr lang="en-US" sz="1400" i="1" baseline="0">
              <a:solidFill>
                <a:schemeClr val="dk1"/>
              </a:solidFill>
              <a:latin typeface="+mn-lt"/>
              <a:ea typeface="+mn-ea"/>
              <a:cs typeface="+mn-cs"/>
            </a:rPr>
            <a:t>Climatic Change </a:t>
          </a:r>
          <a:r>
            <a:rPr lang="en-US" sz="1400" baseline="0">
              <a:solidFill>
                <a:schemeClr val="dk1"/>
              </a:solidFill>
              <a:latin typeface="+mn-lt"/>
              <a:ea typeface="+mn-ea"/>
              <a:cs typeface="+mn-cs"/>
            </a:rPr>
            <a:t>121, 209-222.</a:t>
          </a:r>
        </a:p>
        <a:p>
          <a:endParaRPr lang="en-US" sz="1400" baseline="0">
            <a:solidFill>
              <a:schemeClr val="dk1"/>
            </a:solidFill>
            <a:latin typeface="+mn-lt"/>
            <a:ea typeface="+mn-ea"/>
            <a:cs typeface="+mn-cs"/>
          </a:endParaRPr>
        </a:p>
        <a:p>
          <a:r>
            <a:rPr lang="en-US" sz="1400">
              <a:solidFill>
                <a:schemeClr val="dk1"/>
              </a:solidFill>
              <a:latin typeface="+mn-lt"/>
              <a:ea typeface="+mn-ea"/>
              <a:cs typeface="+mn-cs"/>
            </a:rPr>
            <a:t>You are welcome to modify and use the model as you wish. Please acknowledge it's builders</a:t>
          </a:r>
          <a:r>
            <a:rPr lang="en-US" sz="1400" baseline="0">
              <a:solidFill>
                <a:schemeClr val="dk1"/>
              </a:solidFill>
              <a:latin typeface="+mn-lt"/>
              <a:ea typeface="+mn-ea"/>
              <a:cs typeface="+mn-cs"/>
            </a:rPr>
            <a:t> and/or institution and support source. Support was provided by the Western Water Assessment, a project funded by NOAA.</a:t>
          </a:r>
        </a:p>
        <a:p>
          <a:endParaRPr lang="en-US" sz="1400" baseline="0">
            <a:solidFill>
              <a:schemeClr val="dk1"/>
            </a:solidFill>
            <a:latin typeface="+mn-lt"/>
            <a:ea typeface="+mn-ea"/>
            <a:cs typeface="+mn-cs"/>
          </a:endParaRPr>
        </a:p>
        <a:p>
          <a:r>
            <a:rPr lang="en-US" sz="1400" baseline="0">
              <a:solidFill>
                <a:schemeClr val="dk1"/>
              </a:solidFill>
              <a:latin typeface="+mn-lt"/>
              <a:ea typeface="+mn-ea"/>
              <a:cs typeface="+mn-cs"/>
            </a:rPr>
            <a:t>William R. Travis</a:t>
          </a:r>
        </a:p>
        <a:p>
          <a:r>
            <a:rPr lang="en-US" sz="1400" baseline="0">
              <a:solidFill>
                <a:schemeClr val="dk1"/>
              </a:solidFill>
              <a:latin typeface="+mn-lt"/>
              <a:ea typeface="+mn-ea"/>
              <a:cs typeface="+mn-cs"/>
            </a:rPr>
            <a:t>and</a:t>
          </a:r>
        </a:p>
        <a:p>
          <a:r>
            <a:rPr lang="en-US" sz="1400" baseline="0">
              <a:solidFill>
                <a:schemeClr val="dk1"/>
              </a:solidFill>
              <a:latin typeface="+mn-lt"/>
              <a:ea typeface="+mn-ea"/>
              <a:cs typeface="+mn-cs"/>
            </a:rPr>
            <a:t>Mary Huisenga</a:t>
          </a:r>
        </a:p>
        <a:p>
          <a:r>
            <a:rPr lang="en-US" sz="1400" baseline="0">
              <a:solidFill>
                <a:schemeClr val="dk1"/>
              </a:solidFill>
              <a:latin typeface="+mn-lt"/>
              <a:ea typeface="+mn-ea"/>
              <a:cs typeface="+mn-cs"/>
            </a:rPr>
            <a:t>Dept. of Geography and Institute of Behavioral Science</a:t>
          </a:r>
        </a:p>
        <a:p>
          <a:r>
            <a:rPr lang="en-US" sz="1400" baseline="0">
              <a:solidFill>
                <a:schemeClr val="dk1"/>
              </a:solidFill>
              <a:latin typeface="+mn-lt"/>
              <a:ea typeface="+mn-ea"/>
              <a:cs typeface="+mn-cs"/>
            </a:rPr>
            <a:t>University of Colorado</a:t>
          </a:r>
        </a:p>
        <a:p>
          <a:r>
            <a:rPr lang="en-US" sz="1400" baseline="0">
              <a:solidFill>
                <a:schemeClr val="dk1"/>
              </a:solidFill>
              <a:latin typeface="+mn-lt"/>
              <a:ea typeface="+mn-ea"/>
              <a:cs typeface="+mn-cs"/>
            </a:rPr>
            <a:t>Boulder, CO 80309-0260</a:t>
          </a:r>
        </a:p>
        <a:p>
          <a:r>
            <a:rPr lang="en-US" sz="1400" baseline="0">
              <a:solidFill>
                <a:schemeClr val="dk1"/>
              </a:solidFill>
              <a:latin typeface="+mn-lt"/>
              <a:ea typeface="+mn-ea"/>
              <a:cs typeface="+mn-cs"/>
            </a:rPr>
            <a:t>william.travis@colorado.edu</a:t>
          </a:r>
        </a:p>
        <a:p>
          <a:endParaRPr lang="en-US" sz="1400" baseline="0">
            <a:solidFill>
              <a:schemeClr val="dk1"/>
            </a:solidFill>
            <a:latin typeface="+mn-lt"/>
            <a:ea typeface="+mn-ea"/>
            <a:cs typeface="+mn-cs"/>
          </a:endParaRPr>
        </a:p>
        <a:p>
          <a:endParaRPr lang="en-US" sz="14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22</xdr:row>
      <xdr:rowOff>28575</xdr:rowOff>
    </xdr:from>
    <xdr:to>
      <xdr:col>8</xdr:col>
      <xdr:colOff>409575</xdr:colOff>
      <xdr:row>36</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0</xdr:row>
      <xdr:rowOff>142875</xdr:rowOff>
    </xdr:from>
    <xdr:to>
      <xdr:col>12</xdr:col>
      <xdr:colOff>552450</xdr:colOff>
      <xdr:row>15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257175</xdr:colOff>
      <xdr:row>16</xdr:row>
      <xdr:rowOff>180975</xdr:rowOff>
    </xdr:from>
    <xdr:to>
      <xdr:col>12</xdr:col>
      <xdr:colOff>561975</xdr:colOff>
      <xdr:row>31</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495300</xdr:colOff>
      <xdr:row>20</xdr:row>
      <xdr:rowOff>95251</xdr:rowOff>
    </xdr:from>
    <xdr:to>
      <xdr:col>25</xdr:col>
      <xdr:colOff>285751</xdr:colOff>
      <xdr:row>32</xdr:row>
      <xdr:rowOff>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workbookViewId="0"/>
  </sheetViews>
  <sheetFormatPr defaultRowHeight="15" x14ac:dyDescent="0.25"/>
  <sheetData>
    <row r="1" spans="1:48" x14ac:dyDescent="0.25">
      <c r="A1">
        <v>5</v>
      </c>
      <c r="B1">
        <v>0</v>
      </c>
    </row>
    <row r="2" spans="1:48" x14ac:dyDescent="0.25">
      <c r="A2" s="2">
        <v>0</v>
      </c>
      <c r="G2" s="2"/>
    </row>
    <row r="3" spans="1:48" x14ac:dyDescent="0.25">
      <c r="A3" s="2">
        <f>'WW CC no change'!$B$20</f>
        <v>1322250.5233990306</v>
      </c>
      <c r="B3" t="b">
        <v>1</v>
      </c>
      <c r="C3">
        <v>0</v>
      </c>
      <c r="D3">
        <v>1</v>
      </c>
      <c r="E3" t="s">
        <v>84</v>
      </c>
      <c r="F3">
        <v>1</v>
      </c>
      <c r="G3" s="2">
        <v>0</v>
      </c>
      <c r="H3">
        <v>0</v>
      </c>
      <c r="J3" t="s">
        <v>85</v>
      </c>
      <c r="K3" t="s">
        <v>86</v>
      </c>
      <c r="L3" t="s">
        <v>87</v>
      </c>
      <c r="AG3" s="1">
        <f>'WW CC no change'!$B$20</f>
        <v>1322250.5233990306</v>
      </c>
      <c r="AH3">
        <v>249</v>
      </c>
      <c r="AI3">
        <v>1</v>
      </c>
      <c r="AJ3" t="b">
        <v>0</v>
      </c>
      <c r="AK3" t="b">
        <v>1</v>
      </c>
      <c r="AL3">
        <v>0</v>
      </c>
      <c r="AM3" t="b">
        <v>0</v>
      </c>
      <c r="AN3" t="e">
        <f>_</f>
        <v>#NAME?</v>
      </c>
    </row>
    <row r="4" spans="1:48" x14ac:dyDescent="0.25">
      <c r="A4" s="2">
        <f>'WW CC grad r'!$B$15</f>
        <v>236094.219312</v>
      </c>
      <c r="B4" t="b">
        <v>1</v>
      </c>
      <c r="C4">
        <v>0</v>
      </c>
      <c r="D4">
        <v>1</v>
      </c>
      <c r="E4" t="s">
        <v>88</v>
      </c>
      <c r="F4">
        <v>1</v>
      </c>
      <c r="G4">
        <v>0</v>
      </c>
      <c r="H4">
        <v>0</v>
      </c>
      <c r="J4" t="s">
        <v>85</v>
      </c>
      <c r="K4" t="s">
        <v>86</v>
      </c>
      <c r="L4" t="s">
        <v>87</v>
      </c>
      <c r="AG4" s="2">
        <f>'WW CC grad r'!$B$15</f>
        <v>236094.219312</v>
      </c>
      <c r="AH4">
        <v>311</v>
      </c>
      <c r="AI4">
        <v>1</v>
      </c>
      <c r="AJ4" t="b">
        <v>0</v>
      </c>
      <c r="AK4" t="b">
        <v>1</v>
      </c>
      <c r="AL4">
        <v>0</v>
      </c>
      <c r="AM4" t="b">
        <v>0</v>
      </c>
      <c r="AN4" t="e">
        <f>_</f>
        <v>#NAME?</v>
      </c>
    </row>
    <row r="5" spans="1:48" x14ac:dyDescent="0.25">
      <c r="A5" s="2">
        <f>'WW CC grad r'!$B$20</f>
        <v>815703.00164965005</v>
      </c>
      <c r="B5" t="b">
        <v>1</v>
      </c>
      <c r="C5">
        <v>0</v>
      </c>
      <c r="D5">
        <v>1</v>
      </c>
      <c r="E5" t="s">
        <v>84</v>
      </c>
      <c r="F5">
        <v>1</v>
      </c>
      <c r="G5">
        <v>0</v>
      </c>
      <c r="H5">
        <v>0</v>
      </c>
      <c r="J5" t="s">
        <v>85</v>
      </c>
      <c r="K5" t="s">
        <v>86</v>
      </c>
      <c r="L5" t="s">
        <v>87</v>
      </c>
      <c r="AG5" s="2">
        <f>'WW CC grad r'!$B$20</f>
        <v>815703.00164965005</v>
      </c>
      <c r="AH5">
        <v>373</v>
      </c>
      <c r="AI5">
        <v>1</v>
      </c>
      <c r="AJ5" t="b">
        <v>0</v>
      </c>
      <c r="AK5" t="b">
        <v>1</v>
      </c>
      <c r="AL5">
        <v>0</v>
      </c>
      <c r="AM5" t="b">
        <v>0</v>
      </c>
      <c r="AN5" t="e">
        <f>_</f>
        <v>#NAME?</v>
      </c>
      <c r="AO5" s="2"/>
    </row>
    <row r="6" spans="1:48" x14ac:dyDescent="0.25">
      <c r="A6" s="1">
        <f>'Model Description'!$R$45</f>
        <v>37.513254680000003</v>
      </c>
      <c r="B6" t="b">
        <v>0</v>
      </c>
      <c r="C6">
        <v>1</v>
      </c>
      <c r="D6">
        <v>1</v>
      </c>
      <c r="E6" t="s">
        <v>89</v>
      </c>
      <c r="F6">
        <v>2</v>
      </c>
      <c r="G6">
        <v>0</v>
      </c>
      <c r="H6">
        <v>0</v>
      </c>
      <c r="AG6" s="1">
        <f>'Model Description'!$R$45</f>
        <v>37.513254680000003</v>
      </c>
      <c r="AH6">
        <v>1</v>
      </c>
      <c r="AI6">
        <v>1</v>
      </c>
      <c r="AJ6" t="b">
        <v>0</v>
      </c>
      <c r="AK6" t="b">
        <v>0</v>
      </c>
      <c r="AL6">
        <v>1</v>
      </c>
      <c r="AM6" t="b">
        <v>0</v>
      </c>
      <c r="AN6" t="e">
        <f>_</f>
        <v>#NAME?</v>
      </c>
      <c r="AO6" s="2">
        <f>'Model Description'!$R$45</f>
        <v>37.513254680000003</v>
      </c>
      <c r="AP6">
        <v>1</v>
      </c>
      <c r="AQ6">
        <v>1</v>
      </c>
      <c r="AR6" t="b">
        <v>1</v>
      </c>
      <c r="AS6" t="b">
        <v>0</v>
      </c>
      <c r="AT6">
        <v>1</v>
      </c>
      <c r="AU6" t="b">
        <v>1</v>
      </c>
      <c r="AV6" t="e">
        <f ca="1">_RiskExtvalueMin(41.2068,6.3989,_xll.RiskName("WW CC neg"))</f>
        <v>#NAME?</v>
      </c>
    </row>
    <row r="7" spans="1:48" x14ac:dyDescent="0.25">
      <c r="A7" s="1">
        <f>'WW CC grad r'!$B$13</f>
        <v>4.2</v>
      </c>
      <c r="B7" t="b">
        <v>0</v>
      </c>
      <c r="C7">
        <v>1</v>
      </c>
      <c r="D7">
        <v>1</v>
      </c>
      <c r="E7" t="s">
        <v>90</v>
      </c>
      <c r="F7">
        <v>2</v>
      </c>
      <c r="G7">
        <v>0</v>
      </c>
      <c r="H7">
        <v>0</v>
      </c>
      <c r="AG7" s="1">
        <f>'WW CC grad r'!$B$13</f>
        <v>4.2</v>
      </c>
      <c r="AH7">
        <v>224</v>
      </c>
      <c r="AI7">
        <v>1</v>
      </c>
      <c r="AJ7" t="b">
        <v>0</v>
      </c>
      <c r="AK7" t="b">
        <v>0</v>
      </c>
      <c r="AL7">
        <v>1</v>
      </c>
      <c r="AM7" t="b">
        <v>0</v>
      </c>
      <c r="AN7" t="e">
        <f>_</f>
        <v>#NAME?</v>
      </c>
      <c r="AO7" s="2">
        <f>'WW CC grad r'!$B$13</f>
        <v>4.2</v>
      </c>
      <c r="AP7">
        <v>224</v>
      </c>
      <c r="AQ7">
        <v>1</v>
      </c>
      <c r="AR7" t="b">
        <v>1</v>
      </c>
      <c r="AS7" t="b">
        <v>0</v>
      </c>
      <c r="AT7">
        <v>1</v>
      </c>
      <c r="AU7" t="b">
        <v>1</v>
      </c>
      <c r="AV7" t="e">
        <f ca="1">_RiskNormal(4.2,2.5,_xll.RiskShift(0),_xll.RiskStatic(4.2))</f>
        <v>#NAME?</v>
      </c>
    </row>
    <row r="8" spans="1:48" x14ac:dyDescent="0.25">
      <c r="A8" s="1">
        <v>0</v>
      </c>
      <c r="AG8" s="1"/>
      <c r="AO8" s="2"/>
    </row>
    <row r="9" spans="1:48" x14ac:dyDescent="0.25">
      <c r="A9" s="1" t="b">
        <v>0</v>
      </c>
      <c r="B9">
        <v>15680</v>
      </c>
      <c r="C9">
        <v>7345</v>
      </c>
      <c r="D9">
        <v>13120</v>
      </c>
      <c r="E9">
        <v>100</v>
      </c>
      <c r="AG9" s="1"/>
      <c r="AO9" s="2"/>
    </row>
    <row r="10" spans="1:48" x14ac:dyDescent="0.25">
      <c r="A10" s="1" t="b">
        <v>0</v>
      </c>
      <c r="B10">
        <v>15680</v>
      </c>
      <c r="C10">
        <v>7345</v>
      </c>
      <c r="D10">
        <v>13120</v>
      </c>
      <c r="E10">
        <v>500</v>
      </c>
      <c r="AG10" s="1"/>
      <c r="AO10" s="2"/>
    </row>
    <row r="11" spans="1:48" x14ac:dyDescent="0.25">
      <c r="A11" s="1" t="b">
        <v>0</v>
      </c>
      <c r="B11">
        <v>15680</v>
      </c>
      <c r="C11">
        <v>7345</v>
      </c>
      <c r="D11">
        <v>13120</v>
      </c>
      <c r="E11">
        <v>1000</v>
      </c>
      <c r="AG11" s="1"/>
      <c r="AO11" s="2"/>
    </row>
    <row r="12" spans="1:48" x14ac:dyDescent="0.25">
      <c r="A12" s="1" t="b">
        <v>0</v>
      </c>
      <c r="B12">
        <v>15680</v>
      </c>
      <c r="C12">
        <v>7345</v>
      </c>
      <c r="D12">
        <v>13120</v>
      </c>
      <c r="E12">
        <v>1500</v>
      </c>
      <c r="AG12" s="1"/>
    </row>
    <row r="13" spans="1:48" x14ac:dyDescent="0.25">
      <c r="A13" s="1" t="b">
        <v>0</v>
      </c>
      <c r="B13">
        <v>15680</v>
      </c>
      <c r="C13">
        <v>7345</v>
      </c>
      <c r="D13">
        <v>13120</v>
      </c>
      <c r="E13">
        <v>2000</v>
      </c>
      <c r="AG13" s="1"/>
    </row>
    <row r="14" spans="1:48" x14ac:dyDescent="0.25">
      <c r="A14" s="2">
        <v>0</v>
      </c>
      <c r="AG14" s="2"/>
    </row>
    <row r="15" spans="1:48" x14ac:dyDescent="0.25">
      <c r="A15" s="2">
        <v>0</v>
      </c>
      <c r="B15" t="b">
        <v>0</v>
      </c>
      <c r="C15" t="b">
        <v>0</v>
      </c>
      <c r="D15">
        <v>10</v>
      </c>
      <c r="E15">
        <v>0.95</v>
      </c>
      <c r="F15">
        <v>1</v>
      </c>
      <c r="AG15" s="2"/>
    </row>
    <row r="16" spans="1:48" x14ac:dyDescent="0.25">
      <c r="A16" s="2"/>
      <c r="AG16" s="2"/>
    </row>
    <row r="17" spans="1:41" x14ac:dyDescent="0.25">
      <c r="A17" s="2"/>
      <c r="AG17" s="2"/>
    </row>
    <row r="18" spans="1:41" x14ac:dyDescent="0.25">
      <c r="A18" s="2"/>
      <c r="AG18" s="2"/>
    </row>
    <row r="19" spans="1:41" x14ac:dyDescent="0.25">
      <c r="A19" s="1"/>
      <c r="AG19" s="1"/>
    </row>
    <row r="20" spans="1:41" x14ac:dyDescent="0.25">
      <c r="A20" s="1"/>
      <c r="AG20" s="1"/>
    </row>
    <row r="21" spans="1:41" x14ac:dyDescent="0.25">
      <c r="A21" s="1"/>
      <c r="AG21" s="1"/>
    </row>
    <row r="28" spans="1:41" x14ac:dyDescent="0.25">
      <c r="A28" s="2"/>
      <c r="AG28" s="2"/>
      <c r="AO28" s="2"/>
    </row>
    <row r="30" spans="1:41" x14ac:dyDescent="0.25">
      <c r="A30" s="2"/>
      <c r="AG30" s="2"/>
      <c r="AO30"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zoomScaleNormal="100" workbookViewId="0">
      <selection activeCell="B26" sqref="B26"/>
    </sheetView>
  </sheetViews>
  <sheetFormatPr defaultRowHeight="15" x14ac:dyDescent="0.25"/>
  <cols>
    <col min="1" max="1" width="25" bestFit="1" customWidth="1"/>
    <col min="2" max="2" width="15.5703125" bestFit="1" customWidth="1"/>
    <col min="3" max="8" width="13.5703125" bestFit="1" customWidth="1"/>
    <col min="9" max="9" width="12.5703125" bestFit="1" customWidth="1"/>
    <col min="10" max="11" width="11.85546875" bestFit="1" customWidth="1"/>
    <col min="12" max="12" width="12.5703125" bestFit="1" customWidth="1"/>
    <col min="13" max="31" width="11.85546875" bestFit="1" customWidth="1"/>
    <col min="32" max="32" width="12" bestFit="1" customWidth="1"/>
  </cols>
  <sheetData>
    <row r="1" spans="1:32" ht="60" x14ac:dyDescent="0.25">
      <c r="A1" s="12" t="s">
        <v>104</v>
      </c>
    </row>
    <row r="2" spans="1:32" x14ac:dyDescent="0.25">
      <c r="B2">
        <v>1995</v>
      </c>
      <c r="C2">
        <v>1996</v>
      </c>
      <c r="D2">
        <v>1997</v>
      </c>
      <c r="E2">
        <v>1998</v>
      </c>
      <c r="F2">
        <v>1999</v>
      </c>
      <c r="G2">
        <v>2000</v>
      </c>
      <c r="H2">
        <v>2001</v>
      </c>
      <c r="I2">
        <v>2002</v>
      </c>
      <c r="J2">
        <v>2003</v>
      </c>
      <c r="K2">
        <v>2004</v>
      </c>
      <c r="L2">
        <v>2005</v>
      </c>
      <c r="M2">
        <v>2006</v>
      </c>
      <c r="N2">
        <v>2007</v>
      </c>
      <c r="O2">
        <v>2008</v>
      </c>
      <c r="P2">
        <v>2009</v>
      </c>
      <c r="Q2">
        <v>2010</v>
      </c>
      <c r="R2">
        <v>2011</v>
      </c>
      <c r="S2">
        <v>2012</v>
      </c>
      <c r="T2">
        <v>2013</v>
      </c>
      <c r="U2">
        <v>2014</v>
      </c>
      <c r="V2">
        <v>2015</v>
      </c>
      <c r="W2">
        <v>2016</v>
      </c>
      <c r="X2">
        <v>2017</v>
      </c>
      <c r="Y2">
        <v>2018</v>
      </c>
      <c r="Z2">
        <v>2019</v>
      </c>
      <c r="AA2">
        <v>2020</v>
      </c>
      <c r="AB2">
        <v>2021</v>
      </c>
      <c r="AC2">
        <v>2022</v>
      </c>
      <c r="AD2">
        <v>2023</v>
      </c>
      <c r="AE2">
        <v>2024</v>
      </c>
      <c r="AF2">
        <v>2025</v>
      </c>
    </row>
    <row r="4" spans="1:32" x14ac:dyDescent="0.25">
      <c r="A4" t="s">
        <v>0</v>
      </c>
      <c r="B4" s="6">
        <v>103.5</v>
      </c>
      <c r="C4" s="6">
        <v>103.5</v>
      </c>
      <c r="D4" s="6">
        <v>103.5</v>
      </c>
      <c r="E4" s="6">
        <v>103.5</v>
      </c>
      <c r="F4" s="6">
        <v>103.5</v>
      </c>
      <c r="G4" s="6">
        <v>103.5</v>
      </c>
      <c r="H4" s="6">
        <v>103.5</v>
      </c>
      <c r="I4" s="6">
        <v>103.5</v>
      </c>
      <c r="J4" s="6">
        <v>103.5</v>
      </c>
      <c r="K4" s="6">
        <v>103.5</v>
      </c>
      <c r="L4" s="6">
        <v>103.5</v>
      </c>
      <c r="M4" s="6">
        <v>103.5</v>
      </c>
      <c r="N4" s="6">
        <v>103.5</v>
      </c>
      <c r="O4" s="6">
        <v>103.5</v>
      </c>
      <c r="P4" s="6">
        <v>103.5</v>
      </c>
      <c r="Q4" s="6">
        <v>103.5</v>
      </c>
      <c r="R4" s="6">
        <v>103.5</v>
      </c>
      <c r="S4" s="6">
        <v>103.5</v>
      </c>
      <c r="T4" s="6">
        <v>103.5</v>
      </c>
      <c r="U4" s="6">
        <v>103.5</v>
      </c>
      <c r="V4" s="6">
        <v>103.5</v>
      </c>
      <c r="W4" s="6">
        <v>103.5</v>
      </c>
      <c r="X4" s="6">
        <v>103.5</v>
      </c>
      <c r="Y4" s="6">
        <v>103.5</v>
      </c>
      <c r="Z4" s="6">
        <v>103.5</v>
      </c>
      <c r="AA4" s="6">
        <v>103.5</v>
      </c>
      <c r="AB4" s="6">
        <v>103.5</v>
      </c>
      <c r="AC4" s="6">
        <v>103.5</v>
      </c>
      <c r="AD4" s="6">
        <v>103.5</v>
      </c>
      <c r="AE4" s="6">
        <v>103.5</v>
      </c>
      <c r="AF4" s="6">
        <v>103.5</v>
      </c>
    </row>
    <row r="5" spans="1:32" x14ac:dyDescent="0.25">
      <c r="A5" t="s">
        <v>106</v>
      </c>
      <c r="B5" s="3">
        <v>31.8</v>
      </c>
      <c r="C5" s="3">
        <v>31.8</v>
      </c>
      <c r="D5" s="3">
        <v>31.8</v>
      </c>
      <c r="E5" s="3">
        <v>31.8</v>
      </c>
      <c r="F5" s="3">
        <v>31.8</v>
      </c>
      <c r="G5" s="3">
        <v>31.8</v>
      </c>
      <c r="H5" s="3">
        <v>31.8</v>
      </c>
      <c r="I5" s="3">
        <v>31.8</v>
      </c>
      <c r="J5" s="3">
        <v>31.8</v>
      </c>
      <c r="K5" s="3">
        <v>31.8</v>
      </c>
      <c r="L5" s="3">
        <v>31.8</v>
      </c>
      <c r="M5" s="3">
        <v>31.8</v>
      </c>
      <c r="N5" s="3">
        <v>31.8</v>
      </c>
      <c r="O5" s="3">
        <v>31.8</v>
      </c>
      <c r="P5" s="3">
        <v>31.8</v>
      </c>
      <c r="Q5" s="3">
        <v>31.8</v>
      </c>
      <c r="R5" s="3">
        <v>31.8</v>
      </c>
      <c r="S5" s="3">
        <v>31.8</v>
      </c>
      <c r="T5" s="3">
        <v>31.8</v>
      </c>
      <c r="U5" s="3">
        <v>31.8</v>
      </c>
      <c r="V5" s="3">
        <v>31.8</v>
      </c>
      <c r="W5" s="3">
        <v>31.8</v>
      </c>
      <c r="X5" s="3">
        <v>31.8</v>
      </c>
      <c r="Y5" s="3">
        <v>31.8</v>
      </c>
      <c r="Z5" s="3">
        <v>31.8</v>
      </c>
      <c r="AA5" s="3">
        <v>31.8</v>
      </c>
      <c r="AB5" s="3">
        <v>31.8</v>
      </c>
      <c r="AC5" s="3">
        <v>31.8</v>
      </c>
      <c r="AD5" s="3">
        <v>31.8</v>
      </c>
      <c r="AE5" s="3">
        <v>31.8</v>
      </c>
      <c r="AF5" s="3">
        <v>31.8</v>
      </c>
    </row>
    <row r="6" spans="1:32" x14ac:dyDescent="0.25">
      <c r="A6" t="s">
        <v>20</v>
      </c>
      <c r="B6" s="4">
        <v>0</v>
      </c>
      <c r="C6" s="3">
        <v>0</v>
      </c>
      <c r="D6" s="3">
        <v>-0.5</v>
      </c>
      <c r="E6" s="3">
        <v>-1</v>
      </c>
      <c r="F6" s="3">
        <v>0</v>
      </c>
      <c r="G6" s="3">
        <v>-1</v>
      </c>
      <c r="H6" s="3">
        <v>0</v>
      </c>
      <c r="I6" s="3">
        <v>-1</v>
      </c>
      <c r="J6" s="3">
        <v>0</v>
      </c>
      <c r="K6" s="3">
        <v>-1</v>
      </c>
      <c r="L6" s="3">
        <v>-2</v>
      </c>
      <c r="M6" s="3">
        <v>-2.5</v>
      </c>
      <c r="N6" s="3">
        <v>-3</v>
      </c>
      <c r="O6" s="3">
        <v>-4</v>
      </c>
      <c r="P6" s="3">
        <v>-3</v>
      </c>
      <c r="Q6" s="3">
        <v>-3</v>
      </c>
      <c r="R6" s="3">
        <v>-4</v>
      </c>
      <c r="S6" s="3">
        <v>-3.5</v>
      </c>
      <c r="T6" s="3">
        <v>-2</v>
      </c>
      <c r="U6" s="3">
        <v>-1</v>
      </c>
      <c r="V6" s="3">
        <v>-3</v>
      </c>
      <c r="W6" s="3">
        <v>-4</v>
      </c>
      <c r="X6" s="3">
        <v>-2</v>
      </c>
      <c r="Y6" s="3">
        <v>-4</v>
      </c>
      <c r="Z6" s="3">
        <v>-5</v>
      </c>
      <c r="AA6" s="3">
        <v>-4</v>
      </c>
      <c r="AB6" s="3">
        <v>-4.5</v>
      </c>
      <c r="AC6" s="3">
        <v>-6</v>
      </c>
      <c r="AD6" s="3">
        <v>-7</v>
      </c>
      <c r="AE6" s="3">
        <v>-7</v>
      </c>
      <c r="AF6" s="3">
        <v>-7</v>
      </c>
    </row>
    <row r="7" spans="1:32" x14ac:dyDescent="0.25">
      <c r="A7" t="s">
        <v>8</v>
      </c>
      <c r="B7" s="3">
        <f>B5+B6</f>
        <v>31.8</v>
      </c>
      <c r="C7" s="3">
        <f t="shared" ref="C7:AD7" si="0">C5+C6</f>
        <v>31.8</v>
      </c>
      <c r="D7" s="3">
        <f t="shared" si="0"/>
        <v>31.3</v>
      </c>
      <c r="E7" s="3">
        <f t="shared" si="0"/>
        <v>30.8</v>
      </c>
      <c r="F7" s="3">
        <f t="shared" si="0"/>
        <v>31.8</v>
      </c>
      <c r="G7" s="3">
        <f t="shared" si="0"/>
        <v>30.8</v>
      </c>
      <c r="H7" s="3">
        <f t="shared" si="0"/>
        <v>31.8</v>
      </c>
      <c r="I7" s="3">
        <f t="shared" si="0"/>
        <v>30.8</v>
      </c>
      <c r="J7" s="3">
        <f t="shared" si="0"/>
        <v>31.8</v>
      </c>
      <c r="K7" s="3">
        <f t="shared" si="0"/>
        <v>30.8</v>
      </c>
      <c r="L7" s="3">
        <f t="shared" si="0"/>
        <v>29.8</v>
      </c>
      <c r="M7" s="3">
        <f t="shared" si="0"/>
        <v>29.3</v>
      </c>
      <c r="N7" s="3">
        <f t="shared" si="0"/>
        <v>28.8</v>
      </c>
      <c r="O7" s="3">
        <f t="shared" si="0"/>
        <v>27.8</v>
      </c>
      <c r="P7" s="3">
        <f t="shared" si="0"/>
        <v>28.8</v>
      </c>
      <c r="Q7" s="3">
        <f t="shared" si="0"/>
        <v>28.8</v>
      </c>
      <c r="R7" s="3">
        <f t="shared" si="0"/>
        <v>27.8</v>
      </c>
      <c r="S7" s="3">
        <f t="shared" si="0"/>
        <v>28.3</v>
      </c>
      <c r="T7" s="3">
        <f t="shared" si="0"/>
        <v>29.8</v>
      </c>
      <c r="U7" s="3">
        <f t="shared" si="0"/>
        <v>30.8</v>
      </c>
      <c r="V7" s="3">
        <f t="shared" si="0"/>
        <v>28.8</v>
      </c>
      <c r="W7" s="3">
        <f t="shared" si="0"/>
        <v>27.8</v>
      </c>
      <c r="X7" s="3">
        <f t="shared" si="0"/>
        <v>29.8</v>
      </c>
      <c r="Y7" s="3">
        <f t="shared" si="0"/>
        <v>27.8</v>
      </c>
      <c r="Z7" s="3">
        <f t="shared" si="0"/>
        <v>26.8</v>
      </c>
      <c r="AA7" s="3">
        <f t="shared" si="0"/>
        <v>27.8</v>
      </c>
      <c r="AB7" s="3">
        <f t="shared" si="0"/>
        <v>27.3</v>
      </c>
      <c r="AC7" s="3">
        <f t="shared" si="0"/>
        <v>25.8</v>
      </c>
      <c r="AD7" s="3">
        <f t="shared" si="0"/>
        <v>24.8</v>
      </c>
      <c r="AE7">
        <f t="shared" ref="AE7:AF7" si="1">AD7-0.2</f>
        <v>24.6</v>
      </c>
      <c r="AF7">
        <f t="shared" si="1"/>
        <v>24.400000000000002</v>
      </c>
    </row>
    <row r="8" spans="1:32" x14ac:dyDescent="0.25">
      <c r="A8" t="s">
        <v>274</v>
      </c>
      <c r="B8" s="3">
        <f>IF(B26=1,0.1*B7,B7)</f>
        <v>31.8</v>
      </c>
      <c r="C8" s="3">
        <f t="shared" ref="C8:AF8" si="2">IF(C26=1,0.1*C7,C7)</f>
        <v>31.8</v>
      </c>
      <c r="D8" s="3">
        <f t="shared" si="2"/>
        <v>31.3</v>
      </c>
      <c r="E8" s="3">
        <f t="shared" si="2"/>
        <v>30.8</v>
      </c>
      <c r="F8" s="3">
        <f t="shared" si="2"/>
        <v>31.8</v>
      </c>
      <c r="G8" s="3">
        <f t="shared" si="2"/>
        <v>30.8</v>
      </c>
      <c r="H8" s="3">
        <f t="shared" si="2"/>
        <v>31.8</v>
      </c>
      <c r="I8" s="3">
        <f t="shared" si="2"/>
        <v>30.8</v>
      </c>
      <c r="J8" s="3">
        <f t="shared" si="2"/>
        <v>31.8</v>
      </c>
      <c r="K8" s="3">
        <f t="shared" si="2"/>
        <v>30.8</v>
      </c>
      <c r="L8" s="3">
        <f t="shared" si="2"/>
        <v>29.8</v>
      </c>
      <c r="M8" s="3">
        <f t="shared" si="2"/>
        <v>29.3</v>
      </c>
      <c r="N8" s="3">
        <f t="shared" si="2"/>
        <v>28.8</v>
      </c>
      <c r="O8" s="3">
        <f t="shared" si="2"/>
        <v>27.8</v>
      </c>
      <c r="P8" s="3">
        <f t="shared" si="2"/>
        <v>28.8</v>
      </c>
      <c r="Q8" s="3">
        <f t="shared" si="2"/>
        <v>28.8</v>
      </c>
      <c r="R8" s="3">
        <f t="shared" si="2"/>
        <v>27.8</v>
      </c>
      <c r="S8" s="3">
        <f t="shared" si="2"/>
        <v>28.3</v>
      </c>
      <c r="T8" s="3">
        <f t="shared" si="2"/>
        <v>29.8</v>
      </c>
      <c r="U8" s="3">
        <f t="shared" si="2"/>
        <v>30.8</v>
      </c>
      <c r="V8" s="3">
        <f t="shared" si="2"/>
        <v>28.8</v>
      </c>
      <c r="W8" s="3">
        <f t="shared" si="2"/>
        <v>27.8</v>
      </c>
      <c r="X8" s="3">
        <f t="shared" si="2"/>
        <v>29.8</v>
      </c>
      <c r="Y8" s="3">
        <f t="shared" si="2"/>
        <v>27.8</v>
      </c>
      <c r="Z8" s="3">
        <f t="shared" si="2"/>
        <v>26.8</v>
      </c>
      <c r="AA8" s="3">
        <f t="shared" si="2"/>
        <v>27.8</v>
      </c>
      <c r="AB8" s="3">
        <f t="shared" si="2"/>
        <v>27.3</v>
      </c>
      <c r="AC8" s="3">
        <f t="shared" si="2"/>
        <v>25.8</v>
      </c>
      <c r="AD8" s="3">
        <f t="shared" si="2"/>
        <v>24.8</v>
      </c>
      <c r="AE8" s="3">
        <f t="shared" si="2"/>
        <v>24.6</v>
      </c>
      <c r="AF8" s="3">
        <f t="shared" si="2"/>
        <v>24.400000000000002</v>
      </c>
    </row>
    <row r="9" spans="1:32" x14ac:dyDescent="0.25">
      <c r="A9" t="s">
        <v>10</v>
      </c>
      <c r="B9" s="9">
        <f>28.10645468</f>
        <v>28.106454679999999</v>
      </c>
      <c r="C9" s="9">
        <f>28.10645468</f>
        <v>28.106454679999999</v>
      </c>
      <c r="D9" s="9">
        <f>27.60645468</f>
        <v>27.606454679999999</v>
      </c>
      <c r="E9" s="9">
        <f>27.10645468</f>
        <v>27.106454679999999</v>
      </c>
      <c r="F9" s="9">
        <f>28.10645468</f>
        <v>28.106454679999999</v>
      </c>
      <c r="G9" s="9">
        <f>27.10645468</f>
        <v>27.106454679999999</v>
      </c>
      <c r="H9" s="9">
        <f>28.10645468</f>
        <v>28.106454679999999</v>
      </c>
      <c r="I9" s="9">
        <f>27.10645468</f>
        <v>27.106454679999999</v>
      </c>
      <c r="J9" s="9">
        <f>28.10645468</f>
        <v>28.106454679999999</v>
      </c>
      <c r="K9" s="9">
        <f>27.10645468</f>
        <v>27.106454679999999</v>
      </c>
      <c r="L9" s="9">
        <f>26.10645468</f>
        <v>26.106454679999999</v>
      </c>
      <c r="M9" s="9">
        <f>25.60645468</f>
        <v>25.606454679999999</v>
      </c>
      <c r="N9" s="9">
        <f>25.10645468</f>
        <v>25.106454679999999</v>
      </c>
      <c r="O9" s="9">
        <f>24.10645468</f>
        <v>24.106454679999999</v>
      </c>
      <c r="P9" s="9">
        <f>25.10645468</f>
        <v>25.106454679999999</v>
      </c>
      <c r="Q9" s="9">
        <f>25.10645468</f>
        <v>25.106454679999999</v>
      </c>
      <c r="R9" s="9">
        <f>24.10645468</f>
        <v>24.106454679999999</v>
      </c>
      <c r="S9" s="9">
        <f>24.60645468</f>
        <v>24.606454679999999</v>
      </c>
      <c r="T9" s="9">
        <f>26.10645468</f>
        <v>26.106454679999999</v>
      </c>
      <c r="U9" s="9">
        <f>27.10645468</f>
        <v>27.106454679999999</v>
      </c>
      <c r="V9" s="9">
        <f>25.10645468</f>
        <v>25.106454679999999</v>
      </c>
      <c r="W9" s="9">
        <f>24.10645468</f>
        <v>24.106454679999999</v>
      </c>
      <c r="X9" s="9">
        <f>26.10645468</f>
        <v>26.106454679999999</v>
      </c>
      <c r="Y9" s="9">
        <f>24.10645468</f>
        <v>24.106454679999999</v>
      </c>
      <c r="Z9" s="9">
        <f>23.10645468</f>
        <v>23.106454679999999</v>
      </c>
      <c r="AA9" s="9">
        <f>24.10645468</f>
        <v>24.106454679999999</v>
      </c>
      <c r="AB9" s="9">
        <f>23.60645468</f>
        <v>23.606454679999999</v>
      </c>
      <c r="AC9" s="9">
        <f>22.10645468</f>
        <v>22.106454679999999</v>
      </c>
      <c r="AD9" s="9">
        <f>21.10645468</f>
        <v>21.106454679999999</v>
      </c>
      <c r="AE9" s="9">
        <f>20.90645468</f>
        <v>20.90645468</v>
      </c>
      <c r="AF9" s="9">
        <f>20.70645468</f>
        <v>20.70645468</v>
      </c>
    </row>
    <row r="10" spans="1:32" x14ac:dyDescent="0.25">
      <c r="A10" t="s">
        <v>39</v>
      </c>
      <c r="B10" t="s">
        <v>37</v>
      </c>
      <c r="C10" t="s">
        <v>37</v>
      </c>
      <c r="D10" t="s">
        <v>37</v>
      </c>
      <c r="E10" t="s">
        <v>37</v>
      </c>
      <c r="F10" t="s">
        <v>37</v>
      </c>
      <c r="G10" t="s">
        <v>37</v>
      </c>
      <c r="H10" t="s">
        <v>37</v>
      </c>
      <c r="I10" t="s">
        <v>37</v>
      </c>
      <c r="J10" t="s">
        <v>37</v>
      </c>
      <c r="K10" t="s">
        <v>37</v>
      </c>
      <c r="L10" t="s">
        <v>37</v>
      </c>
      <c r="M10" t="s">
        <v>37</v>
      </c>
      <c r="N10" t="s">
        <v>37</v>
      </c>
      <c r="O10" t="s">
        <v>37</v>
      </c>
      <c r="P10" t="s">
        <v>37</v>
      </c>
      <c r="Q10" s="17" t="s">
        <v>42</v>
      </c>
      <c r="R10" s="17" t="s">
        <v>42</v>
      </c>
      <c r="S10" s="17" t="s">
        <v>42</v>
      </c>
      <c r="T10" s="17" t="s">
        <v>42</v>
      </c>
      <c r="U10" s="17" t="s">
        <v>42</v>
      </c>
      <c r="V10" s="17" t="s">
        <v>42</v>
      </c>
      <c r="W10" s="17" t="s">
        <v>42</v>
      </c>
      <c r="X10" s="17" t="s">
        <v>42</v>
      </c>
      <c r="Y10" s="17" t="s">
        <v>42</v>
      </c>
      <c r="Z10" s="17" t="s">
        <v>42</v>
      </c>
      <c r="AA10" s="17" t="s">
        <v>42</v>
      </c>
      <c r="AB10" s="17" t="s">
        <v>42</v>
      </c>
      <c r="AC10" s="17" t="s">
        <v>42</v>
      </c>
      <c r="AD10" s="17" t="s">
        <v>42</v>
      </c>
      <c r="AE10" s="17" t="s">
        <v>42</v>
      </c>
      <c r="AF10" s="17" t="s">
        <v>42</v>
      </c>
    </row>
    <row r="11" spans="1:32" x14ac:dyDescent="0.25">
      <c r="A11" t="s">
        <v>40</v>
      </c>
      <c r="B11">
        <v>2000</v>
      </c>
      <c r="C11">
        <v>2000</v>
      </c>
      <c r="D11">
        <v>2000</v>
      </c>
      <c r="E11">
        <v>2000</v>
      </c>
      <c r="F11">
        <v>2000</v>
      </c>
      <c r="G11">
        <v>2000</v>
      </c>
      <c r="H11">
        <v>2000</v>
      </c>
      <c r="I11">
        <v>2000</v>
      </c>
      <c r="J11">
        <v>2000</v>
      </c>
      <c r="K11">
        <v>2000</v>
      </c>
      <c r="L11">
        <v>2000</v>
      </c>
      <c r="M11">
        <v>2000</v>
      </c>
      <c r="N11">
        <v>2000</v>
      </c>
      <c r="O11">
        <v>2000</v>
      </c>
      <c r="P11">
        <v>2000</v>
      </c>
      <c r="Q11">
        <v>2000</v>
      </c>
      <c r="R11">
        <v>2000</v>
      </c>
      <c r="S11">
        <v>2000</v>
      </c>
      <c r="T11">
        <v>2000</v>
      </c>
      <c r="U11">
        <v>2000</v>
      </c>
      <c r="V11">
        <v>2000</v>
      </c>
      <c r="W11">
        <v>2000</v>
      </c>
      <c r="X11">
        <v>2000</v>
      </c>
      <c r="Y11">
        <v>2000</v>
      </c>
      <c r="Z11">
        <v>2000</v>
      </c>
      <c r="AA11">
        <v>2000</v>
      </c>
      <c r="AB11">
        <v>2000</v>
      </c>
      <c r="AC11">
        <v>2000</v>
      </c>
      <c r="AD11">
        <v>2000</v>
      </c>
      <c r="AE11">
        <v>2000</v>
      </c>
      <c r="AF11">
        <v>2000</v>
      </c>
    </row>
    <row r="12" spans="1:32" x14ac:dyDescent="0.25">
      <c r="A12" t="s">
        <v>41</v>
      </c>
      <c r="B12" s="8">
        <f>B9*B11</f>
        <v>56212.909359999998</v>
      </c>
      <c r="C12" s="8">
        <f>C9*C11</f>
        <v>56212.909359999998</v>
      </c>
      <c r="D12" s="8">
        <f>D9*D11</f>
        <v>55212.909359999998</v>
      </c>
      <c r="E12" s="8">
        <f>E9*E11</f>
        <v>54212.909359999998</v>
      </c>
      <c r="F12" s="8">
        <f>F9*F11</f>
        <v>56212.909359999998</v>
      </c>
      <c r="G12" s="8">
        <f>G9*G11</f>
        <v>54212.909359999998</v>
      </c>
      <c r="H12" s="8">
        <f>H9*H11</f>
        <v>56212.909359999998</v>
      </c>
      <c r="I12" s="8">
        <f>I9*I11</f>
        <v>54212.909359999998</v>
      </c>
      <c r="J12" s="8">
        <f>J9*J11</f>
        <v>56212.909359999998</v>
      </c>
      <c r="K12" s="8">
        <f>K9*K11</f>
        <v>54212.909359999998</v>
      </c>
      <c r="L12" s="8">
        <f>L9*L11</f>
        <v>52212.909359999998</v>
      </c>
      <c r="M12" s="8">
        <f>M9*M11</f>
        <v>51212.909359999998</v>
      </c>
      <c r="N12" s="8">
        <f>N9*N11</f>
        <v>50212.909359999998</v>
      </c>
      <c r="O12" s="8">
        <f>O9*O11</f>
        <v>48212.909359999998</v>
      </c>
      <c r="P12" s="8">
        <f>P9*P11</f>
        <v>50212.909359999998</v>
      </c>
      <c r="Q12">
        <f>Q9*Q11</f>
        <v>50212.909359999998</v>
      </c>
      <c r="R12">
        <f>R9*R11</f>
        <v>48212.909359999998</v>
      </c>
      <c r="S12">
        <f>S9*S11</f>
        <v>49212.909359999998</v>
      </c>
      <c r="T12">
        <f>T9*T11</f>
        <v>52212.909359999998</v>
      </c>
      <c r="U12">
        <f>U9*U11</f>
        <v>54212.909359999998</v>
      </c>
      <c r="V12">
        <f>V9*V11</f>
        <v>50212.909359999998</v>
      </c>
      <c r="W12">
        <f>W9*W11</f>
        <v>48212.909359999998</v>
      </c>
      <c r="X12">
        <f>X9*X11</f>
        <v>52212.909359999998</v>
      </c>
      <c r="Y12">
        <f>Y9*Y11</f>
        <v>48212.909359999998</v>
      </c>
      <c r="Z12">
        <f>Z9*Z11</f>
        <v>46212.909359999998</v>
      </c>
      <c r="AA12">
        <f>AA9*AA11</f>
        <v>48212.909359999998</v>
      </c>
      <c r="AB12">
        <f>AB9*AB11</f>
        <v>47212.909359999998</v>
      </c>
      <c r="AC12">
        <f>AC9*AC11</f>
        <v>44212.909359999998</v>
      </c>
      <c r="AD12">
        <f>AD9*AD11</f>
        <v>42212.909359999998</v>
      </c>
      <c r="AE12">
        <f>AE9*AE11</f>
        <v>41812.909359999998</v>
      </c>
      <c r="AF12">
        <f>AF9*AF11</f>
        <v>41412.909359999998</v>
      </c>
    </row>
    <row r="13" spans="1:32" x14ac:dyDescent="0.25">
      <c r="A13" t="s">
        <v>7</v>
      </c>
      <c r="B13" s="1">
        <f t="shared" ref="B13:AF13" si="3">B4*B11</f>
        <v>207000</v>
      </c>
      <c r="C13" s="1">
        <f t="shared" si="3"/>
        <v>207000</v>
      </c>
      <c r="D13" s="1">
        <f t="shared" si="3"/>
        <v>207000</v>
      </c>
      <c r="E13" s="1">
        <f t="shared" si="3"/>
        <v>207000</v>
      </c>
      <c r="F13" s="1">
        <f t="shared" si="3"/>
        <v>207000</v>
      </c>
      <c r="G13" s="1">
        <f t="shared" si="3"/>
        <v>207000</v>
      </c>
      <c r="H13" s="1">
        <f t="shared" si="3"/>
        <v>207000</v>
      </c>
      <c r="I13" s="1">
        <f t="shared" si="3"/>
        <v>207000</v>
      </c>
      <c r="J13" s="1">
        <f t="shared" si="3"/>
        <v>207000</v>
      </c>
      <c r="K13" s="1">
        <f t="shared" si="3"/>
        <v>207000</v>
      </c>
      <c r="L13" s="1">
        <f t="shared" si="3"/>
        <v>207000</v>
      </c>
      <c r="M13" s="1">
        <f t="shared" si="3"/>
        <v>207000</v>
      </c>
      <c r="N13" s="1">
        <f t="shared" si="3"/>
        <v>207000</v>
      </c>
      <c r="O13" s="1">
        <f t="shared" si="3"/>
        <v>207000</v>
      </c>
      <c r="P13" s="1">
        <f t="shared" si="3"/>
        <v>207000</v>
      </c>
      <c r="Q13" s="1">
        <f t="shared" si="3"/>
        <v>207000</v>
      </c>
      <c r="R13" s="1">
        <f t="shared" si="3"/>
        <v>207000</v>
      </c>
      <c r="S13" s="1">
        <f t="shared" si="3"/>
        <v>207000</v>
      </c>
      <c r="T13" s="1">
        <f t="shared" si="3"/>
        <v>207000</v>
      </c>
      <c r="U13" s="1">
        <f t="shared" si="3"/>
        <v>207000</v>
      </c>
      <c r="V13" s="1">
        <f t="shared" si="3"/>
        <v>207000</v>
      </c>
      <c r="W13" s="1">
        <f t="shared" si="3"/>
        <v>207000</v>
      </c>
      <c r="X13" s="1">
        <f t="shared" si="3"/>
        <v>207000</v>
      </c>
      <c r="Y13" s="1">
        <f t="shared" si="3"/>
        <v>207000</v>
      </c>
      <c r="Z13" s="1">
        <f t="shared" si="3"/>
        <v>207000</v>
      </c>
      <c r="AA13" s="1">
        <f t="shared" si="3"/>
        <v>207000</v>
      </c>
      <c r="AB13" s="1">
        <f t="shared" si="3"/>
        <v>207000</v>
      </c>
      <c r="AC13" s="1">
        <f t="shared" si="3"/>
        <v>207000</v>
      </c>
      <c r="AD13" s="1">
        <f t="shared" si="3"/>
        <v>207000</v>
      </c>
      <c r="AE13" s="1">
        <f t="shared" si="3"/>
        <v>207000</v>
      </c>
      <c r="AF13" s="1">
        <f t="shared" si="3"/>
        <v>207000</v>
      </c>
    </row>
    <row r="14" spans="1:32" x14ac:dyDescent="0.25">
      <c r="A14" t="s">
        <v>3</v>
      </c>
      <c r="B14" s="2">
        <v>4.2</v>
      </c>
      <c r="C14" s="2">
        <v>4.2</v>
      </c>
      <c r="D14" s="2">
        <v>4.2</v>
      </c>
      <c r="E14" s="2">
        <v>4.2</v>
      </c>
      <c r="F14" s="2">
        <v>4.2</v>
      </c>
      <c r="G14" s="2">
        <v>4.2</v>
      </c>
      <c r="H14" s="2">
        <v>4.2</v>
      </c>
      <c r="I14" s="2">
        <v>4.2</v>
      </c>
      <c r="J14" s="2">
        <v>4.2</v>
      </c>
      <c r="K14" s="2">
        <v>4.2</v>
      </c>
      <c r="L14" s="2">
        <v>4.2</v>
      </c>
      <c r="M14" s="2">
        <v>4.2</v>
      </c>
      <c r="N14" s="2">
        <v>4.2</v>
      </c>
      <c r="O14" s="2">
        <v>4.2</v>
      </c>
      <c r="P14" s="2">
        <v>4.2</v>
      </c>
      <c r="Q14" s="2">
        <v>4.2</v>
      </c>
      <c r="R14" s="2">
        <v>4.2</v>
      </c>
      <c r="S14" s="2">
        <v>4.2</v>
      </c>
      <c r="T14" s="2">
        <v>4.2</v>
      </c>
      <c r="U14" s="2">
        <v>4.2</v>
      </c>
      <c r="V14" s="2">
        <v>4.2</v>
      </c>
      <c r="W14" s="2">
        <v>4.2</v>
      </c>
      <c r="X14" s="2">
        <v>4.2</v>
      </c>
      <c r="Y14" s="2">
        <v>4.2</v>
      </c>
      <c r="Z14" s="2">
        <v>4.2</v>
      </c>
      <c r="AA14" s="2">
        <v>4.2</v>
      </c>
      <c r="AB14" s="2">
        <v>4.2</v>
      </c>
      <c r="AC14" s="2">
        <v>4.2</v>
      </c>
      <c r="AD14" s="2">
        <v>4.2</v>
      </c>
      <c r="AE14" s="2">
        <v>4.2</v>
      </c>
      <c r="AF14" s="2">
        <v>4.2</v>
      </c>
    </row>
    <row r="15" spans="1:32" x14ac:dyDescent="0.25">
      <c r="B15" s="2"/>
    </row>
    <row r="16" spans="1:32" x14ac:dyDescent="0.25">
      <c r="A16" t="s">
        <v>4</v>
      </c>
      <c r="B16" s="2">
        <f>B12*B14</f>
        <v>236094.219312</v>
      </c>
      <c r="C16" s="2">
        <f>C12*C14</f>
        <v>236094.219312</v>
      </c>
      <c r="D16" s="2">
        <f>D12*D14</f>
        <v>231894.219312</v>
      </c>
      <c r="E16" s="2">
        <f>E12*E14</f>
        <v>227694.219312</v>
      </c>
      <c r="F16" s="2">
        <f>F12*F14</f>
        <v>236094.219312</v>
      </c>
      <c r="G16" s="2">
        <f>G12*G14</f>
        <v>227694.219312</v>
      </c>
      <c r="H16" s="2">
        <f>H12*H14</f>
        <v>236094.219312</v>
      </c>
      <c r="I16" s="2">
        <f>I12*I14</f>
        <v>227694.219312</v>
      </c>
      <c r="J16" s="2">
        <f>J12*J14</f>
        <v>236094.219312</v>
      </c>
      <c r="K16" s="2">
        <f>K12*K14</f>
        <v>227694.219312</v>
      </c>
      <c r="L16" s="2">
        <f>L12*L14</f>
        <v>219294.219312</v>
      </c>
      <c r="M16" s="2">
        <f>M12*M14</f>
        <v>215094.219312</v>
      </c>
      <c r="N16" s="2">
        <f>N12*N14</f>
        <v>210894.219312</v>
      </c>
      <c r="O16" s="2">
        <f>O12*O14</f>
        <v>202494.219312</v>
      </c>
      <c r="P16" s="2">
        <f>P12*P14</f>
        <v>210894.219312</v>
      </c>
      <c r="Q16" s="2">
        <f>Q12*Q14</f>
        <v>210894.219312</v>
      </c>
      <c r="R16" s="2">
        <f>R12*R14</f>
        <v>202494.219312</v>
      </c>
      <c r="S16" s="2">
        <f>S12*S14</f>
        <v>206694.219312</v>
      </c>
      <c r="T16" s="2">
        <f>T12*T14</f>
        <v>219294.219312</v>
      </c>
      <c r="U16" s="2">
        <f>U12*U14</f>
        <v>227694.219312</v>
      </c>
      <c r="V16" s="2">
        <f>V12*V14</f>
        <v>210894.219312</v>
      </c>
      <c r="W16" s="2">
        <f>W12*W14</f>
        <v>202494.219312</v>
      </c>
      <c r="X16" s="2">
        <f>X12*X14</f>
        <v>219294.219312</v>
      </c>
      <c r="Y16" s="2">
        <f>Y12*Y14</f>
        <v>202494.219312</v>
      </c>
      <c r="Z16" s="2">
        <f>Z12*Z14</f>
        <v>194094.219312</v>
      </c>
      <c r="AA16" s="2">
        <f>AA12*AA14</f>
        <v>202494.219312</v>
      </c>
      <c r="AB16" s="2">
        <f>AB12*AB14</f>
        <v>198294.219312</v>
      </c>
      <c r="AC16" s="2">
        <f>AC12*AC14</f>
        <v>185694.219312</v>
      </c>
      <c r="AD16" s="2">
        <f>AD12*AD14</f>
        <v>177294.219312</v>
      </c>
      <c r="AE16" s="2">
        <f>AE12*AE14</f>
        <v>175614.219312</v>
      </c>
      <c r="AF16" s="2">
        <f>AF12*AF14</f>
        <v>173934.219312</v>
      </c>
    </row>
    <row r="17" spans="1:32" x14ac:dyDescent="0.25">
      <c r="A17" t="s">
        <v>5</v>
      </c>
      <c r="B17" s="2">
        <f>B16-B13</f>
        <v>29094.219312000001</v>
      </c>
      <c r="C17" s="2">
        <f>C16-C13</f>
        <v>29094.219312000001</v>
      </c>
      <c r="D17" s="2">
        <f>D16-D13</f>
        <v>24894.219312000001</v>
      </c>
      <c r="E17" s="2">
        <f>E16-E13</f>
        <v>20694.219312000001</v>
      </c>
      <c r="F17" s="2">
        <f>F16-F13</f>
        <v>29094.219312000001</v>
      </c>
      <c r="G17" s="2">
        <f>G16-G13</f>
        <v>20694.219312000001</v>
      </c>
      <c r="H17" s="2">
        <f>H16-H13</f>
        <v>29094.219312000001</v>
      </c>
      <c r="I17" s="2">
        <f>I16-I13</f>
        <v>20694.219312000001</v>
      </c>
      <c r="J17" s="2">
        <f>J16-J13</f>
        <v>29094.219312000001</v>
      </c>
      <c r="K17" s="2">
        <f>K16-K13</f>
        <v>20694.219312000001</v>
      </c>
      <c r="L17" s="2">
        <f>L16-L13</f>
        <v>12294.219312000001</v>
      </c>
      <c r="M17" s="2">
        <f>M16-M13</f>
        <v>8094.2193120000011</v>
      </c>
      <c r="N17" s="2">
        <f>N16-N13</f>
        <v>3894.2193120000011</v>
      </c>
      <c r="O17" s="2">
        <f>O16-O13</f>
        <v>-4505.7806879999989</v>
      </c>
      <c r="P17" s="2">
        <f>P16-P13</f>
        <v>3894.2193120000011</v>
      </c>
      <c r="Q17" s="2">
        <f>Q16-Q13</f>
        <v>3894.2193120000011</v>
      </c>
      <c r="R17" s="2">
        <f>R16-R13</f>
        <v>-4505.7806879999989</v>
      </c>
      <c r="S17" s="2">
        <f>S16-S13</f>
        <v>-305.78068799999892</v>
      </c>
      <c r="T17" s="2">
        <f>T16-T13</f>
        <v>12294.219312000001</v>
      </c>
      <c r="U17" s="2">
        <f>U16-U13</f>
        <v>20694.219312000001</v>
      </c>
      <c r="V17" s="2">
        <f>V16-V13</f>
        <v>3894.2193120000011</v>
      </c>
      <c r="W17" s="2">
        <f>W16-W13</f>
        <v>-4505.7806879999989</v>
      </c>
      <c r="X17" s="2">
        <f>X16-X13</f>
        <v>12294.219312000001</v>
      </c>
      <c r="Y17" s="2">
        <f>Y16-Y13</f>
        <v>-4505.7806879999989</v>
      </c>
      <c r="Z17" s="2">
        <f>Z16-Z13</f>
        <v>-12905.780687999999</v>
      </c>
      <c r="AA17" s="2">
        <f>AA16-AA13</f>
        <v>-4505.7806879999989</v>
      </c>
      <c r="AB17" s="2">
        <f>AB16-AB13</f>
        <v>-8705.7806879999989</v>
      </c>
      <c r="AC17" s="2">
        <f>AC16-AC13</f>
        <v>-21305.780687999999</v>
      </c>
      <c r="AD17" s="2">
        <f>AD16-AD13</f>
        <v>-29705.780687999999</v>
      </c>
      <c r="AE17" s="2">
        <f>AE16-AE13</f>
        <v>-31385.780687999999</v>
      </c>
      <c r="AF17" s="2">
        <f>AF16-AF13</f>
        <v>-33065.780687999999</v>
      </c>
    </row>
    <row r="18" spans="1:32" x14ac:dyDescent="0.25">
      <c r="B18" s="2"/>
    </row>
    <row r="21" spans="1:32" x14ac:dyDescent="0.25">
      <c r="A21" t="s">
        <v>6</v>
      </c>
      <c r="B21" s="1">
        <f>NPV(3%,B17:AF17)</f>
        <v>195185.77965068299</v>
      </c>
      <c r="C21" s="1">
        <f>NPV(3%,C17:AF17)</f>
        <v>171947.13372820354</v>
      </c>
      <c r="D21" s="1">
        <f>NPV(3%,D17:AF17)</f>
        <v>148011.32842804957</v>
      </c>
      <c r="E21" s="1">
        <f>NPV(3%,E17:AF17)</f>
        <v>127557.44896889116</v>
      </c>
      <c r="F21" s="1">
        <f>NPV(3%,F17:AF17)</f>
        <v>110689.95312595791</v>
      </c>
      <c r="G21" s="1">
        <f>NPV(3%,G17:AF17)</f>
        <v>84916.432407736647</v>
      </c>
      <c r="H21" s="1">
        <f>NPV(3%,H17:AF17)</f>
        <v>66769.706067968669</v>
      </c>
      <c r="I21" s="1">
        <f>NPV(3%,I17:AF17)</f>
        <v>39678.577938007751</v>
      </c>
      <c r="J21" s="1">
        <f>NPV(3%,J17:AF17)</f>
        <v>20174.715964148003</v>
      </c>
      <c r="K21" s="1">
        <f>NPV(3%,K17:AF17)</f>
        <v>-8314.2618689275841</v>
      </c>
      <c r="L21" s="1">
        <f>NPV(3%,L17:AO17)</f>
        <v>-29257.90903699541</v>
      </c>
      <c r="M21" s="1">
        <f>NPV(3%,M17:AP17)</f>
        <v>-42429.86562010528</v>
      </c>
      <c r="N21" s="1">
        <f>NPV(3%,N17:AQ17)</f>
        <v>-51796.98090070844</v>
      </c>
      <c r="O21" s="1">
        <f>NPV(3%,O17:AR17)</f>
        <v>-57245.109639729679</v>
      </c>
      <c r="P21" s="1">
        <f>NPV(3%,P17:AS17)</f>
        <v>-54456.682240921582</v>
      </c>
      <c r="Q21" s="1">
        <f>NPV(3%,Q17:AT17)</f>
        <v>-59984.60202014925</v>
      </c>
      <c r="R21" s="1">
        <f>NPV(3%,R17:AU17)</f>
        <v>-65678.359392753715</v>
      </c>
      <c r="S21" s="1">
        <f>NPV(3%,S17:AV17)</f>
        <v>-63142.929486536334</v>
      </c>
      <c r="T21" s="1">
        <f>NPV(3%,T17:AW17)</f>
        <v>-64731.436683132437</v>
      </c>
      <c r="U21" s="1">
        <f>NPV(3%,U17:AX17)</f>
        <v>-78967.599095626414</v>
      </c>
      <c r="V21" s="1">
        <f>NPV(3%,V17:AY17)</f>
        <v>-102030.8463804952</v>
      </c>
      <c r="W21" s="1">
        <f>NPV(3%,W17:AZ17)</f>
        <v>-108985.99108391006</v>
      </c>
      <c r="X21" s="1">
        <f>NPV(3%,X17:BA17)</f>
        <v>-107749.79012842737</v>
      </c>
      <c r="Y21" s="1">
        <f>NPV(3%,Y17:BB17)</f>
        <v>-123276.50314428018</v>
      </c>
      <c r="Z21" s="1">
        <f>NPV(3%,Z17:BC17)</f>
        <v>-122469.01755060862</v>
      </c>
      <c r="AA21" s="1">
        <f>NPV(3%,AA17:BD17)</f>
        <v>-113237.30738912687</v>
      </c>
      <c r="AB21" s="1">
        <f>NPV(3%,AB17:BE17)</f>
        <v>-112128.64592280067</v>
      </c>
      <c r="AC21" s="1">
        <f>NPV(3%,AC17:BF17)</f>
        <v>-106786.7246124847</v>
      </c>
      <c r="AD21" s="1">
        <f>NPV(3%,AD17:BG17)</f>
        <v>-88684.545662859251</v>
      </c>
      <c r="AE21" s="1">
        <f>NPV(3%,AE17:BH17)</f>
        <v>-61639.301344745021</v>
      </c>
      <c r="AF21" s="1">
        <f>NPV(3%,AF17:BI17)</f>
        <v>-32102.699697087377</v>
      </c>
    </row>
    <row r="22" spans="1:32" x14ac:dyDescent="0.25">
      <c r="B22" s="1"/>
    </row>
    <row r="25" spans="1:32" x14ac:dyDescent="0.25">
      <c r="A25" t="s">
        <v>271</v>
      </c>
      <c r="C25" t="s">
        <v>272</v>
      </c>
      <c r="D25" t="s">
        <v>273</v>
      </c>
    </row>
    <row r="26" spans="1:32" x14ac:dyDescent="0.25">
      <c r="A26" t="s">
        <v>275</v>
      </c>
      <c r="B26">
        <f>0</f>
        <v>0</v>
      </c>
      <c r="C26">
        <f>0</f>
        <v>0</v>
      </c>
      <c r="D26">
        <f>0</f>
        <v>0</v>
      </c>
      <c r="E26">
        <f>0</f>
        <v>0</v>
      </c>
      <c r="F26">
        <f>0</f>
        <v>0</v>
      </c>
      <c r="G26">
        <f>0</f>
        <v>0</v>
      </c>
      <c r="H26">
        <f>0</f>
        <v>0</v>
      </c>
      <c r="I26">
        <f>0</f>
        <v>0</v>
      </c>
      <c r="J26">
        <f>0</f>
        <v>0</v>
      </c>
      <c r="K26">
        <f>0</f>
        <v>0</v>
      </c>
      <c r="L26">
        <f>0</f>
        <v>0</v>
      </c>
      <c r="M26">
        <f>0</f>
        <v>0</v>
      </c>
      <c r="N26">
        <f>0</f>
        <v>0</v>
      </c>
      <c r="O26">
        <f>0</f>
        <v>0</v>
      </c>
      <c r="P26">
        <f>0</f>
        <v>0</v>
      </c>
      <c r="Q26">
        <f>0</f>
        <v>0</v>
      </c>
      <c r="R26">
        <f>0</f>
        <v>0</v>
      </c>
      <c r="S26">
        <f>0</f>
        <v>0</v>
      </c>
      <c r="T26">
        <f>0</f>
        <v>0</v>
      </c>
      <c r="U26">
        <f>0</f>
        <v>0</v>
      </c>
      <c r="V26">
        <f>0</f>
        <v>0</v>
      </c>
      <c r="W26">
        <f>0</f>
        <v>0</v>
      </c>
      <c r="X26">
        <f>0</f>
        <v>0</v>
      </c>
      <c r="Y26">
        <f>0</f>
        <v>0</v>
      </c>
      <c r="Z26">
        <f>0</f>
        <v>0</v>
      </c>
      <c r="AA26">
        <f>0</f>
        <v>0</v>
      </c>
      <c r="AB26">
        <f>0</f>
        <v>0</v>
      </c>
      <c r="AC26">
        <f>0</f>
        <v>0</v>
      </c>
      <c r="AD26">
        <f>0</f>
        <v>0</v>
      </c>
      <c r="AE26">
        <f>0</f>
        <v>0</v>
      </c>
      <c r="AF26">
        <f>0</f>
        <v>0</v>
      </c>
    </row>
    <row r="27" spans="1:32" x14ac:dyDescent="0.25">
      <c r="C27" s="121"/>
    </row>
    <row r="28" spans="1:32" x14ac:dyDescent="0.25">
      <c r="J28" s="3"/>
    </row>
    <row r="29" spans="1:32" x14ac:dyDescent="0.25">
      <c r="J29" s="3"/>
    </row>
    <row r="30" spans="1:32" x14ac:dyDescent="0.25">
      <c r="J30" s="3"/>
    </row>
    <row r="31" spans="1:32" x14ac:dyDescent="0.25">
      <c r="J31" s="3"/>
    </row>
    <row r="32" spans="1:32" x14ac:dyDescent="0.25">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row r="45" spans="10:10" x14ac:dyDescent="0.25">
      <c r="J45" s="3"/>
    </row>
    <row r="46" spans="10:10" x14ac:dyDescent="0.25">
      <c r="J46" s="3"/>
    </row>
    <row r="47" spans="10:10" x14ac:dyDescent="0.25">
      <c r="J47" s="3"/>
    </row>
    <row r="48" spans="10:10" x14ac:dyDescent="0.25">
      <c r="J48" s="3"/>
    </row>
    <row r="49" spans="10:10" x14ac:dyDescent="0.25">
      <c r="J49" s="3"/>
    </row>
    <row r="50" spans="10:10" x14ac:dyDescent="0.25">
      <c r="J50" s="3"/>
    </row>
    <row r="51" spans="10:10" x14ac:dyDescent="0.25">
      <c r="J51" s="3"/>
    </row>
    <row r="52" spans="10:10" x14ac:dyDescent="0.25">
      <c r="J52" s="3"/>
    </row>
    <row r="53" spans="10:10" x14ac:dyDescent="0.25">
      <c r="J53" s="3"/>
    </row>
    <row r="54" spans="10:10" x14ac:dyDescent="0.25">
      <c r="J54" s="3"/>
    </row>
    <row r="55" spans="10:10" x14ac:dyDescent="0.25">
      <c r="J55" s="3"/>
    </row>
    <row r="56" spans="10:10" x14ac:dyDescent="0.25">
      <c r="J56" s="3"/>
    </row>
    <row r="57" spans="10:10" x14ac:dyDescent="0.25">
      <c r="J57" s="3"/>
    </row>
  </sheetData>
  <conditionalFormatting sqref="B9">
    <cfRule type="expression" dxfId="342" priority="1" stopIfTrue="1">
      <formula>RiskIsInput</formula>
    </cfRule>
  </conditionalFormatting>
  <conditionalFormatting sqref="C9">
    <cfRule type="expression" dxfId="341" priority="2" stopIfTrue="1">
      <formula>RiskIsInput</formula>
    </cfRule>
  </conditionalFormatting>
  <conditionalFormatting sqref="D9">
    <cfRule type="expression" dxfId="340" priority="3" stopIfTrue="1">
      <formula>RiskIsInput</formula>
    </cfRule>
  </conditionalFormatting>
  <conditionalFormatting sqref="E9">
    <cfRule type="expression" dxfId="339" priority="4" stopIfTrue="1">
      <formula>RiskIsInput</formula>
    </cfRule>
  </conditionalFormatting>
  <conditionalFormatting sqref="F9">
    <cfRule type="expression" dxfId="338" priority="5" stopIfTrue="1">
      <formula>RiskIsInput</formula>
    </cfRule>
  </conditionalFormatting>
  <conditionalFormatting sqref="G9">
    <cfRule type="expression" dxfId="337" priority="6" stopIfTrue="1">
      <formula>RiskIsInput</formula>
    </cfRule>
  </conditionalFormatting>
  <conditionalFormatting sqref="H9">
    <cfRule type="expression" dxfId="336" priority="7" stopIfTrue="1">
      <formula>RiskIsInput</formula>
    </cfRule>
  </conditionalFormatting>
  <conditionalFormatting sqref="I9">
    <cfRule type="expression" dxfId="335" priority="8" stopIfTrue="1">
      <formula>RiskIsInput</formula>
    </cfRule>
  </conditionalFormatting>
  <conditionalFormatting sqref="J9">
    <cfRule type="expression" dxfId="334" priority="9" stopIfTrue="1">
      <formula>RiskIsInput</formula>
    </cfRule>
  </conditionalFormatting>
  <conditionalFormatting sqref="K9">
    <cfRule type="expression" dxfId="333" priority="10" stopIfTrue="1">
      <formula>RiskIsInput</formula>
    </cfRule>
  </conditionalFormatting>
  <conditionalFormatting sqref="L9">
    <cfRule type="expression" dxfId="332" priority="11" stopIfTrue="1">
      <formula>RiskIsInput</formula>
    </cfRule>
  </conditionalFormatting>
  <conditionalFormatting sqref="M9">
    <cfRule type="expression" dxfId="331" priority="12" stopIfTrue="1">
      <formula>RiskIsInput</formula>
    </cfRule>
  </conditionalFormatting>
  <conditionalFormatting sqref="N9">
    <cfRule type="expression" dxfId="330" priority="13" stopIfTrue="1">
      <formula>RiskIsInput</formula>
    </cfRule>
  </conditionalFormatting>
  <conditionalFormatting sqref="O9">
    <cfRule type="expression" dxfId="329" priority="14" stopIfTrue="1">
      <formula>RiskIsInput</formula>
    </cfRule>
  </conditionalFormatting>
  <conditionalFormatting sqref="P9">
    <cfRule type="expression" dxfId="328" priority="15" stopIfTrue="1">
      <formula>RiskIsInput</formula>
    </cfRule>
  </conditionalFormatting>
  <conditionalFormatting sqref="Q9">
    <cfRule type="expression" dxfId="327" priority="16" stopIfTrue="1">
      <formula>RiskIsInput</formula>
    </cfRule>
  </conditionalFormatting>
  <conditionalFormatting sqref="R9">
    <cfRule type="expression" dxfId="326" priority="17" stopIfTrue="1">
      <formula>RiskIsInput</formula>
    </cfRule>
  </conditionalFormatting>
  <conditionalFormatting sqref="S9">
    <cfRule type="expression" dxfId="325" priority="18" stopIfTrue="1">
      <formula>RiskIsInput</formula>
    </cfRule>
  </conditionalFormatting>
  <conditionalFormatting sqref="T9">
    <cfRule type="expression" dxfId="324" priority="19" stopIfTrue="1">
      <formula>RiskIsInput</formula>
    </cfRule>
  </conditionalFormatting>
  <conditionalFormatting sqref="U9">
    <cfRule type="expression" dxfId="323" priority="20" stopIfTrue="1">
      <formula>RiskIsInput</formula>
    </cfRule>
  </conditionalFormatting>
  <conditionalFormatting sqref="V9">
    <cfRule type="expression" dxfId="322" priority="21" stopIfTrue="1">
      <formula>RiskIsInput</formula>
    </cfRule>
  </conditionalFormatting>
  <conditionalFormatting sqref="W9">
    <cfRule type="expression" dxfId="321" priority="22" stopIfTrue="1">
      <formula>RiskIsInput</formula>
    </cfRule>
  </conditionalFormatting>
  <conditionalFormatting sqref="X9">
    <cfRule type="expression" dxfId="320" priority="23" stopIfTrue="1">
      <formula>RiskIsInput</formula>
    </cfRule>
  </conditionalFormatting>
  <conditionalFormatting sqref="Y9">
    <cfRule type="expression" dxfId="319" priority="24" stopIfTrue="1">
      <formula>RiskIsInput</formula>
    </cfRule>
  </conditionalFormatting>
  <conditionalFormatting sqref="Z9">
    <cfRule type="expression" dxfId="318" priority="25" stopIfTrue="1">
      <formula>RiskIsInput</formula>
    </cfRule>
  </conditionalFormatting>
  <conditionalFormatting sqref="AA9">
    <cfRule type="expression" dxfId="317" priority="26" stopIfTrue="1">
      <formula>RiskIsInput</formula>
    </cfRule>
  </conditionalFormatting>
  <conditionalFormatting sqref="AB9">
    <cfRule type="expression" dxfId="316" priority="27" stopIfTrue="1">
      <formula>RiskIsInput</formula>
    </cfRule>
  </conditionalFormatting>
  <conditionalFormatting sqref="AC9">
    <cfRule type="expression" dxfId="315" priority="28" stopIfTrue="1">
      <formula>RiskIsInput</formula>
    </cfRule>
  </conditionalFormatting>
  <conditionalFormatting sqref="AD9">
    <cfRule type="expression" dxfId="314" priority="29" stopIfTrue="1">
      <formula>RiskIsInput</formula>
    </cfRule>
  </conditionalFormatting>
  <conditionalFormatting sqref="AE9">
    <cfRule type="expression" dxfId="313" priority="30" stopIfTrue="1">
      <formula>RiskIsInput</formula>
    </cfRule>
  </conditionalFormatting>
  <conditionalFormatting sqref="AF9">
    <cfRule type="expression" dxfId="312" priority="31" stopIfTrue="1">
      <formula>RiskIsInput</formula>
    </cfRule>
  </conditionalFormatting>
  <conditionalFormatting sqref="B12">
    <cfRule type="expression" dxfId="311" priority="32" stopIfTrue="1">
      <formula>RiskIsOutput</formula>
    </cfRule>
  </conditionalFormatting>
  <conditionalFormatting sqref="C12">
    <cfRule type="expression" dxfId="310" priority="33" stopIfTrue="1">
      <formula>RiskIsOutput</formula>
    </cfRule>
  </conditionalFormatting>
  <conditionalFormatting sqref="D12">
    <cfRule type="expression" dxfId="309" priority="34" stopIfTrue="1">
      <formula>RiskIsOutput</formula>
    </cfRule>
  </conditionalFormatting>
  <conditionalFormatting sqref="E12">
    <cfRule type="expression" dxfId="308" priority="35" stopIfTrue="1">
      <formula>RiskIsOutput</formula>
    </cfRule>
  </conditionalFormatting>
  <conditionalFormatting sqref="F12">
    <cfRule type="expression" dxfId="307" priority="36" stopIfTrue="1">
      <formula>RiskIsOutput</formula>
    </cfRule>
  </conditionalFormatting>
  <conditionalFormatting sqref="G12">
    <cfRule type="expression" dxfId="306" priority="37" stopIfTrue="1">
      <formula>RiskIsOutput</formula>
    </cfRule>
  </conditionalFormatting>
  <conditionalFormatting sqref="H12">
    <cfRule type="expression" dxfId="305" priority="38" stopIfTrue="1">
      <formula>RiskIsOutput</formula>
    </cfRule>
  </conditionalFormatting>
  <conditionalFormatting sqref="I12">
    <cfRule type="expression" dxfId="304" priority="39" stopIfTrue="1">
      <formula>RiskIsOutput</formula>
    </cfRule>
  </conditionalFormatting>
  <conditionalFormatting sqref="J12">
    <cfRule type="expression" dxfId="303" priority="40" stopIfTrue="1">
      <formula>RiskIsOutput</formula>
    </cfRule>
  </conditionalFormatting>
  <conditionalFormatting sqref="K12">
    <cfRule type="expression" dxfId="302" priority="41" stopIfTrue="1">
      <formula>RiskIsOutput</formula>
    </cfRule>
  </conditionalFormatting>
  <conditionalFormatting sqref="L12">
    <cfRule type="expression" dxfId="301" priority="42" stopIfTrue="1">
      <formula>RiskIsOutput</formula>
    </cfRule>
  </conditionalFormatting>
  <conditionalFormatting sqref="M12">
    <cfRule type="expression" dxfId="300" priority="43" stopIfTrue="1">
      <formula>RiskIsOutput</formula>
    </cfRule>
  </conditionalFormatting>
  <conditionalFormatting sqref="N12">
    <cfRule type="expression" dxfId="299" priority="44" stopIfTrue="1">
      <formula>RiskIsOutput</formula>
    </cfRule>
  </conditionalFormatting>
  <conditionalFormatting sqref="O12">
    <cfRule type="expression" dxfId="298" priority="45" stopIfTrue="1">
      <formula>RiskIsOutput</formula>
    </cfRule>
  </conditionalFormatting>
  <conditionalFormatting sqref="P12">
    <cfRule type="expression" dxfId="297" priority="46" stopIfTrue="1">
      <formula>RiskIsOutput</formula>
    </cfRule>
  </conditionalFormatting>
  <conditionalFormatting sqref="Q12">
    <cfRule type="expression" dxfId="296" priority="47" stopIfTrue="1">
      <formula>RiskIsOutput</formula>
    </cfRule>
  </conditionalFormatting>
  <conditionalFormatting sqref="R12">
    <cfRule type="expression" dxfId="295" priority="48" stopIfTrue="1">
      <formula>RiskIsOutput</formula>
    </cfRule>
  </conditionalFormatting>
  <conditionalFormatting sqref="S12">
    <cfRule type="expression" dxfId="294" priority="49" stopIfTrue="1">
      <formula>RiskIsOutput</formula>
    </cfRule>
  </conditionalFormatting>
  <conditionalFormatting sqref="T12">
    <cfRule type="expression" dxfId="293" priority="50" stopIfTrue="1">
      <formula>RiskIsOutput</formula>
    </cfRule>
  </conditionalFormatting>
  <conditionalFormatting sqref="U12">
    <cfRule type="expression" dxfId="292" priority="51" stopIfTrue="1">
      <formula>RiskIsOutput</formula>
    </cfRule>
  </conditionalFormatting>
  <conditionalFormatting sqref="V12">
    <cfRule type="expression" dxfId="291" priority="52" stopIfTrue="1">
      <formula>RiskIsOutput</formula>
    </cfRule>
  </conditionalFormatting>
  <conditionalFormatting sqref="W12">
    <cfRule type="expression" dxfId="290" priority="53" stopIfTrue="1">
      <formula>RiskIsOutput</formula>
    </cfRule>
  </conditionalFormatting>
  <conditionalFormatting sqref="X12">
    <cfRule type="expression" dxfId="289" priority="54" stopIfTrue="1">
      <formula>RiskIsOutput</formula>
    </cfRule>
  </conditionalFormatting>
  <conditionalFormatting sqref="Y12">
    <cfRule type="expression" dxfId="288" priority="55" stopIfTrue="1">
      <formula>RiskIsOutput</formula>
    </cfRule>
  </conditionalFormatting>
  <conditionalFormatting sqref="Z12">
    <cfRule type="expression" dxfId="287" priority="56" stopIfTrue="1">
      <formula>RiskIsOutput</formula>
    </cfRule>
  </conditionalFormatting>
  <conditionalFormatting sqref="AA12">
    <cfRule type="expression" dxfId="286" priority="57" stopIfTrue="1">
      <formula>RiskIsOutput</formula>
    </cfRule>
  </conditionalFormatting>
  <conditionalFormatting sqref="AB12">
    <cfRule type="expression" dxfId="285" priority="58" stopIfTrue="1">
      <formula>RiskIsOutput</formula>
    </cfRule>
  </conditionalFormatting>
  <conditionalFormatting sqref="AC12">
    <cfRule type="expression" dxfId="284" priority="59" stopIfTrue="1">
      <formula>RiskIsOutput</formula>
    </cfRule>
  </conditionalFormatting>
  <conditionalFormatting sqref="AD12">
    <cfRule type="expression" dxfId="283" priority="60" stopIfTrue="1">
      <formula>RiskIsOutput</formula>
    </cfRule>
  </conditionalFormatting>
  <conditionalFormatting sqref="AE12">
    <cfRule type="expression" dxfId="282" priority="61" stopIfTrue="1">
      <formula>RiskIsOutput</formula>
    </cfRule>
  </conditionalFormatting>
  <conditionalFormatting sqref="AF12">
    <cfRule type="expression" dxfId="281" priority="62" stopIfTrue="1">
      <formula>RiskIsOutput</formula>
    </cfRule>
  </conditionalFormatting>
  <conditionalFormatting sqref="B16">
    <cfRule type="expression" dxfId="280" priority="63" stopIfTrue="1">
      <formula>RiskIsOutput</formula>
    </cfRule>
  </conditionalFormatting>
  <conditionalFormatting sqref="C16">
    <cfRule type="expression" dxfId="279" priority="64" stopIfTrue="1">
      <formula>RiskIsOutput</formula>
    </cfRule>
  </conditionalFormatting>
  <conditionalFormatting sqref="D16">
    <cfRule type="expression" dxfId="278" priority="65" stopIfTrue="1">
      <formula>RiskIsOutput</formula>
    </cfRule>
  </conditionalFormatting>
  <conditionalFormatting sqref="E16">
    <cfRule type="expression" dxfId="277" priority="66" stopIfTrue="1">
      <formula>RiskIsOutput</formula>
    </cfRule>
  </conditionalFormatting>
  <conditionalFormatting sqref="F16">
    <cfRule type="expression" dxfId="276" priority="67" stopIfTrue="1">
      <formula>RiskIsOutput</formula>
    </cfRule>
  </conditionalFormatting>
  <conditionalFormatting sqref="G16">
    <cfRule type="expression" dxfId="275" priority="68" stopIfTrue="1">
      <formula>RiskIsOutput</formula>
    </cfRule>
  </conditionalFormatting>
  <conditionalFormatting sqref="H16">
    <cfRule type="expression" dxfId="274" priority="69" stopIfTrue="1">
      <formula>RiskIsOutput</formula>
    </cfRule>
  </conditionalFormatting>
  <conditionalFormatting sqref="I16">
    <cfRule type="expression" dxfId="273" priority="70" stopIfTrue="1">
      <formula>RiskIsOutput</formula>
    </cfRule>
  </conditionalFormatting>
  <conditionalFormatting sqref="J16">
    <cfRule type="expression" dxfId="272" priority="71" stopIfTrue="1">
      <formula>RiskIsOutput</formula>
    </cfRule>
  </conditionalFormatting>
  <conditionalFormatting sqref="K16">
    <cfRule type="expression" dxfId="271" priority="72" stopIfTrue="1">
      <formula>RiskIsOutput</formula>
    </cfRule>
  </conditionalFormatting>
  <conditionalFormatting sqref="L16">
    <cfRule type="expression" dxfId="270" priority="73" stopIfTrue="1">
      <formula>RiskIsOutput</formula>
    </cfRule>
  </conditionalFormatting>
  <conditionalFormatting sqref="M16">
    <cfRule type="expression" dxfId="269" priority="74" stopIfTrue="1">
      <formula>RiskIsOutput</formula>
    </cfRule>
  </conditionalFormatting>
  <conditionalFormatting sqref="N16">
    <cfRule type="expression" dxfId="268" priority="75" stopIfTrue="1">
      <formula>RiskIsOutput</formula>
    </cfRule>
  </conditionalFormatting>
  <conditionalFormatting sqref="O16">
    <cfRule type="expression" dxfId="267" priority="76" stopIfTrue="1">
      <formula>RiskIsOutput</formula>
    </cfRule>
  </conditionalFormatting>
  <conditionalFormatting sqref="P16">
    <cfRule type="expression" dxfId="266" priority="77" stopIfTrue="1">
      <formula>RiskIsOutput</formula>
    </cfRule>
  </conditionalFormatting>
  <conditionalFormatting sqref="Q16">
    <cfRule type="expression" dxfId="265" priority="78" stopIfTrue="1">
      <formula>RiskIsOutput</formula>
    </cfRule>
  </conditionalFormatting>
  <conditionalFormatting sqref="R16">
    <cfRule type="expression" dxfId="264" priority="79" stopIfTrue="1">
      <formula>RiskIsOutput</formula>
    </cfRule>
  </conditionalFormatting>
  <conditionalFormatting sqref="S16">
    <cfRule type="expression" dxfId="263" priority="80" stopIfTrue="1">
      <formula>RiskIsOutput</formula>
    </cfRule>
  </conditionalFormatting>
  <conditionalFormatting sqref="T16">
    <cfRule type="expression" dxfId="262" priority="81" stopIfTrue="1">
      <formula>RiskIsOutput</formula>
    </cfRule>
  </conditionalFormatting>
  <conditionalFormatting sqref="U16">
    <cfRule type="expression" dxfId="261" priority="82" stopIfTrue="1">
      <formula>RiskIsOutput</formula>
    </cfRule>
  </conditionalFormatting>
  <conditionalFormatting sqref="V16">
    <cfRule type="expression" dxfId="260" priority="83" stopIfTrue="1">
      <formula>RiskIsOutput</formula>
    </cfRule>
  </conditionalFormatting>
  <conditionalFormatting sqref="W16">
    <cfRule type="expression" dxfId="259" priority="84" stopIfTrue="1">
      <formula>RiskIsOutput</formula>
    </cfRule>
  </conditionalFormatting>
  <conditionalFormatting sqref="X16">
    <cfRule type="expression" dxfId="258" priority="85" stopIfTrue="1">
      <formula>RiskIsOutput</formula>
    </cfRule>
  </conditionalFormatting>
  <conditionalFormatting sqref="Y16">
    <cfRule type="expression" dxfId="257" priority="86" stopIfTrue="1">
      <formula>RiskIsOutput</formula>
    </cfRule>
  </conditionalFormatting>
  <conditionalFormatting sqref="Z16">
    <cfRule type="expression" dxfId="256" priority="87" stopIfTrue="1">
      <formula>RiskIsOutput</formula>
    </cfRule>
  </conditionalFormatting>
  <conditionalFormatting sqref="AA16">
    <cfRule type="expression" dxfId="255" priority="88" stopIfTrue="1">
      <formula>RiskIsOutput</formula>
    </cfRule>
  </conditionalFormatting>
  <conditionalFormatting sqref="AB16">
    <cfRule type="expression" dxfId="254" priority="89" stopIfTrue="1">
      <formula>RiskIsOutput</formula>
    </cfRule>
  </conditionalFormatting>
  <conditionalFormatting sqref="AC16">
    <cfRule type="expression" dxfId="253" priority="90" stopIfTrue="1">
      <formula>RiskIsOutput</formula>
    </cfRule>
  </conditionalFormatting>
  <conditionalFormatting sqref="AD16">
    <cfRule type="expression" dxfId="252" priority="91" stopIfTrue="1">
      <formula>RiskIsOutput</formula>
    </cfRule>
  </conditionalFormatting>
  <conditionalFormatting sqref="AE16">
    <cfRule type="expression" dxfId="251" priority="92" stopIfTrue="1">
      <formula>RiskIsOutput</formula>
    </cfRule>
  </conditionalFormatting>
  <conditionalFormatting sqref="AF16">
    <cfRule type="expression" dxfId="250" priority="93" stopIfTrue="1">
      <formula>RiskIsOutput</formula>
    </cfRule>
  </conditionalFormatting>
  <conditionalFormatting sqref="B17">
    <cfRule type="expression" dxfId="249" priority="94" stopIfTrue="1">
      <formula>RiskIsOutput</formula>
    </cfRule>
  </conditionalFormatting>
  <conditionalFormatting sqref="C17">
    <cfRule type="expression" dxfId="248" priority="95" stopIfTrue="1">
      <formula>RiskIsOutput</formula>
    </cfRule>
  </conditionalFormatting>
  <conditionalFormatting sqref="D17">
    <cfRule type="expression" dxfId="247" priority="96" stopIfTrue="1">
      <formula>RiskIsOutput</formula>
    </cfRule>
  </conditionalFormatting>
  <conditionalFormatting sqref="E17">
    <cfRule type="expression" dxfId="246" priority="97" stopIfTrue="1">
      <formula>RiskIsOutput</formula>
    </cfRule>
  </conditionalFormatting>
  <conditionalFormatting sqref="F17">
    <cfRule type="expression" dxfId="245" priority="98" stopIfTrue="1">
      <formula>RiskIsOutput</formula>
    </cfRule>
  </conditionalFormatting>
  <conditionalFormatting sqref="G17">
    <cfRule type="expression" dxfId="244" priority="99" stopIfTrue="1">
      <formula>RiskIsOutput</formula>
    </cfRule>
  </conditionalFormatting>
  <conditionalFormatting sqref="H17">
    <cfRule type="expression" dxfId="243" priority="100" stopIfTrue="1">
      <formula>RiskIsOutput</formula>
    </cfRule>
  </conditionalFormatting>
  <conditionalFormatting sqref="I17">
    <cfRule type="expression" dxfId="242" priority="101" stopIfTrue="1">
      <formula>RiskIsOutput</formula>
    </cfRule>
  </conditionalFormatting>
  <conditionalFormatting sqref="J17">
    <cfRule type="expression" dxfId="241" priority="102" stopIfTrue="1">
      <formula>RiskIsOutput</formula>
    </cfRule>
  </conditionalFormatting>
  <conditionalFormatting sqref="K17">
    <cfRule type="expression" dxfId="240" priority="103" stopIfTrue="1">
      <formula>RiskIsOutput</formula>
    </cfRule>
  </conditionalFormatting>
  <conditionalFormatting sqref="L17">
    <cfRule type="expression" dxfId="239" priority="104" stopIfTrue="1">
      <formula>RiskIsOutput</formula>
    </cfRule>
  </conditionalFormatting>
  <conditionalFormatting sqref="M17">
    <cfRule type="expression" dxfId="238" priority="105" stopIfTrue="1">
      <formula>RiskIsOutput</formula>
    </cfRule>
  </conditionalFormatting>
  <conditionalFormatting sqref="N17">
    <cfRule type="expression" dxfId="237" priority="106" stopIfTrue="1">
      <formula>RiskIsOutput</formula>
    </cfRule>
  </conditionalFormatting>
  <conditionalFormatting sqref="O17">
    <cfRule type="expression" dxfId="236" priority="107" stopIfTrue="1">
      <formula>RiskIsOutput</formula>
    </cfRule>
  </conditionalFormatting>
  <conditionalFormatting sqref="P17">
    <cfRule type="expression" dxfId="235" priority="108" stopIfTrue="1">
      <formula>RiskIsOutput</formula>
    </cfRule>
  </conditionalFormatting>
  <conditionalFormatting sqref="Q17">
    <cfRule type="expression" dxfId="234" priority="109" stopIfTrue="1">
      <formula>RiskIsOutput</formula>
    </cfRule>
  </conditionalFormatting>
  <conditionalFormatting sqref="R17">
    <cfRule type="expression" dxfId="233" priority="110" stopIfTrue="1">
      <formula>RiskIsOutput</formula>
    </cfRule>
  </conditionalFormatting>
  <conditionalFormatting sqref="S17">
    <cfRule type="expression" dxfId="232" priority="111" stopIfTrue="1">
      <formula>RiskIsOutput</formula>
    </cfRule>
  </conditionalFormatting>
  <conditionalFormatting sqref="T17">
    <cfRule type="expression" dxfId="231" priority="112" stopIfTrue="1">
      <formula>RiskIsOutput</formula>
    </cfRule>
  </conditionalFormatting>
  <conditionalFormatting sqref="U17">
    <cfRule type="expression" dxfId="230" priority="113" stopIfTrue="1">
      <formula>RiskIsOutput</formula>
    </cfRule>
  </conditionalFormatting>
  <conditionalFormatting sqref="V17">
    <cfRule type="expression" dxfId="229" priority="114" stopIfTrue="1">
      <formula>RiskIsOutput</formula>
    </cfRule>
  </conditionalFormatting>
  <conditionalFormatting sqref="W17">
    <cfRule type="expression" dxfId="228" priority="115" stopIfTrue="1">
      <formula>RiskIsOutput</formula>
    </cfRule>
  </conditionalFormatting>
  <conditionalFormatting sqref="X17">
    <cfRule type="expression" dxfId="227" priority="116" stopIfTrue="1">
      <formula>RiskIsOutput</formula>
    </cfRule>
  </conditionalFormatting>
  <conditionalFormatting sqref="Y17">
    <cfRule type="expression" dxfId="226" priority="117" stopIfTrue="1">
      <formula>RiskIsOutput</formula>
    </cfRule>
  </conditionalFormatting>
  <conditionalFormatting sqref="Z17">
    <cfRule type="expression" dxfId="225" priority="118" stopIfTrue="1">
      <formula>RiskIsOutput</formula>
    </cfRule>
  </conditionalFormatting>
  <conditionalFormatting sqref="AA17">
    <cfRule type="expression" dxfId="224" priority="119" stopIfTrue="1">
      <formula>RiskIsOutput</formula>
    </cfRule>
  </conditionalFormatting>
  <conditionalFormatting sqref="AB17">
    <cfRule type="expression" dxfId="223" priority="120" stopIfTrue="1">
      <formula>RiskIsOutput</formula>
    </cfRule>
  </conditionalFormatting>
  <conditionalFormatting sqref="AC17">
    <cfRule type="expression" dxfId="222" priority="121" stopIfTrue="1">
      <formula>RiskIsOutput</formula>
    </cfRule>
  </conditionalFormatting>
  <conditionalFormatting sqref="AD17">
    <cfRule type="expression" dxfId="221" priority="122" stopIfTrue="1">
      <formula>RiskIsOutput</formula>
    </cfRule>
  </conditionalFormatting>
  <conditionalFormatting sqref="AE17">
    <cfRule type="expression" dxfId="220" priority="123" stopIfTrue="1">
      <formula>RiskIsOutput</formula>
    </cfRule>
  </conditionalFormatting>
  <conditionalFormatting sqref="AF17">
    <cfRule type="expression" dxfId="219" priority="124" stopIfTrue="1">
      <formula>RiskIsOutput</formula>
    </cfRule>
  </conditionalFormatting>
  <conditionalFormatting sqref="B21">
    <cfRule type="expression" dxfId="218" priority="125" stopIfTrue="1">
      <formula>RiskIsOutput</formula>
    </cfRule>
  </conditionalFormatting>
  <conditionalFormatting sqref="C21">
    <cfRule type="expression" dxfId="217" priority="126" stopIfTrue="1">
      <formula>RiskIsOutput</formula>
    </cfRule>
  </conditionalFormatting>
  <conditionalFormatting sqref="D21">
    <cfRule type="expression" dxfId="216" priority="127" stopIfTrue="1">
      <formula>RiskIsOutput</formula>
    </cfRule>
  </conditionalFormatting>
  <conditionalFormatting sqref="E21">
    <cfRule type="expression" dxfId="215" priority="128" stopIfTrue="1">
      <formula>RiskIsOutput</formula>
    </cfRule>
  </conditionalFormatting>
  <conditionalFormatting sqref="F21">
    <cfRule type="expression" dxfId="214" priority="129" stopIfTrue="1">
      <formula>RiskIsOutput</formula>
    </cfRule>
  </conditionalFormatting>
  <conditionalFormatting sqref="G21">
    <cfRule type="expression" dxfId="213" priority="130" stopIfTrue="1">
      <formula>RiskIsOutput</formula>
    </cfRule>
  </conditionalFormatting>
  <conditionalFormatting sqref="H21">
    <cfRule type="expression" dxfId="212" priority="131" stopIfTrue="1">
      <formula>RiskIsOutput</formula>
    </cfRule>
  </conditionalFormatting>
  <conditionalFormatting sqref="I21">
    <cfRule type="expression" dxfId="211" priority="132" stopIfTrue="1">
      <formula>RiskIsOutput</formula>
    </cfRule>
  </conditionalFormatting>
  <conditionalFormatting sqref="J21">
    <cfRule type="expression" dxfId="210" priority="133" stopIfTrue="1">
      <formula>RiskIsOutput</formula>
    </cfRule>
  </conditionalFormatting>
  <conditionalFormatting sqref="K21">
    <cfRule type="expression" dxfId="209" priority="134" stopIfTrue="1">
      <formula>RiskIsOutput</formula>
    </cfRule>
  </conditionalFormatting>
  <conditionalFormatting sqref="L21">
    <cfRule type="expression" dxfId="208" priority="135" stopIfTrue="1">
      <formula>RiskIsOutput</formula>
    </cfRule>
  </conditionalFormatting>
  <conditionalFormatting sqref="M21">
    <cfRule type="expression" dxfId="207" priority="136" stopIfTrue="1">
      <formula>RiskIsOutput</formula>
    </cfRule>
  </conditionalFormatting>
  <conditionalFormatting sqref="N21">
    <cfRule type="expression" dxfId="206" priority="137" stopIfTrue="1">
      <formula>RiskIsOutput</formula>
    </cfRule>
  </conditionalFormatting>
  <conditionalFormatting sqref="O21">
    <cfRule type="expression" dxfId="205" priority="138" stopIfTrue="1">
      <formula>RiskIsOutput</formula>
    </cfRule>
  </conditionalFormatting>
  <conditionalFormatting sqref="P21">
    <cfRule type="expression" dxfId="204" priority="139" stopIfTrue="1">
      <formula>RiskIsOutput</formula>
    </cfRule>
  </conditionalFormatting>
  <conditionalFormatting sqref="Q21">
    <cfRule type="expression" dxfId="203" priority="140" stopIfTrue="1">
      <formula>RiskIsOutput</formula>
    </cfRule>
  </conditionalFormatting>
  <conditionalFormatting sqref="R21">
    <cfRule type="expression" dxfId="202" priority="141" stopIfTrue="1">
      <formula>RiskIsOutput</formula>
    </cfRule>
  </conditionalFormatting>
  <conditionalFormatting sqref="S21">
    <cfRule type="expression" dxfId="201" priority="142" stopIfTrue="1">
      <formula>RiskIsOutput</formula>
    </cfRule>
  </conditionalFormatting>
  <conditionalFormatting sqref="T21">
    <cfRule type="expression" dxfId="200" priority="143" stopIfTrue="1">
      <formula>RiskIsOutput</formula>
    </cfRule>
  </conditionalFormatting>
  <conditionalFormatting sqref="U21">
    <cfRule type="expression" dxfId="199" priority="144" stopIfTrue="1">
      <formula>RiskIsOutput</formula>
    </cfRule>
  </conditionalFormatting>
  <conditionalFormatting sqref="V21">
    <cfRule type="expression" dxfId="198" priority="145" stopIfTrue="1">
      <formula>RiskIsOutput</formula>
    </cfRule>
  </conditionalFormatting>
  <conditionalFormatting sqref="W21">
    <cfRule type="expression" dxfId="197" priority="146" stopIfTrue="1">
      <formula>RiskIsOutput</formula>
    </cfRule>
  </conditionalFormatting>
  <conditionalFormatting sqref="X21">
    <cfRule type="expression" dxfId="196" priority="147" stopIfTrue="1">
      <formula>RiskIsOutput</formula>
    </cfRule>
  </conditionalFormatting>
  <conditionalFormatting sqref="Y21">
    <cfRule type="expression" dxfId="195" priority="148" stopIfTrue="1">
      <formula>RiskIsOutput</formula>
    </cfRule>
  </conditionalFormatting>
  <conditionalFormatting sqref="Z21">
    <cfRule type="expression" dxfId="194" priority="149" stopIfTrue="1">
      <formula>RiskIsOutput</formula>
    </cfRule>
  </conditionalFormatting>
  <conditionalFormatting sqref="AA21">
    <cfRule type="expression" dxfId="193" priority="150" stopIfTrue="1">
      <formula>RiskIsOutput</formula>
    </cfRule>
  </conditionalFormatting>
  <conditionalFormatting sqref="AB21">
    <cfRule type="expression" dxfId="192" priority="151" stopIfTrue="1">
      <formula>RiskIsOutput</formula>
    </cfRule>
  </conditionalFormatting>
  <conditionalFormatting sqref="AC21">
    <cfRule type="expression" dxfId="191" priority="152" stopIfTrue="1">
      <formula>RiskIsOutput</formula>
    </cfRule>
  </conditionalFormatting>
  <conditionalFormatting sqref="AD21">
    <cfRule type="expression" dxfId="190" priority="153" stopIfTrue="1">
      <formula>RiskIsOutput</formula>
    </cfRule>
  </conditionalFormatting>
  <conditionalFormatting sqref="AE21">
    <cfRule type="expression" dxfId="189" priority="154" stopIfTrue="1">
      <formula>RiskIsOutput</formula>
    </cfRule>
  </conditionalFormatting>
  <conditionalFormatting sqref="AF21">
    <cfRule type="expression" dxfId="188" priority="155" stopIfTrue="1">
      <formula>RiskIsOutput</formula>
    </cfRule>
  </conditionalFormatting>
  <conditionalFormatting sqref="B26">
    <cfRule type="expression" dxfId="187" priority="156" stopIfTrue="1">
      <formula>RiskIsInput</formula>
    </cfRule>
  </conditionalFormatting>
  <conditionalFormatting sqref="C26">
    <cfRule type="expression" dxfId="186" priority="157" stopIfTrue="1">
      <formula>RiskIsInput</formula>
    </cfRule>
  </conditionalFormatting>
  <conditionalFormatting sqref="D26">
    <cfRule type="expression" dxfId="185" priority="158" stopIfTrue="1">
      <formula>RiskIsInput</formula>
    </cfRule>
  </conditionalFormatting>
  <conditionalFormatting sqref="E26">
    <cfRule type="expression" dxfId="184" priority="159" stopIfTrue="1">
      <formula>RiskIsInput</formula>
    </cfRule>
  </conditionalFormatting>
  <conditionalFormatting sqref="F26">
    <cfRule type="expression" dxfId="183" priority="160" stopIfTrue="1">
      <formula>RiskIsInput</formula>
    </cfRule>
  </conditionalFormatting>
  <conditionalFormatting sqref="G26">
    <cfRule type="expression" dxfId="182" priority="161" stopIfTrue="1">
      <formula>RiskIsInput</formula>
    </cfRule>
  </conditionalFormatting>
  <conditionalFormatting sqref="H26">
    <cfRule type="expression" dxfId="181" priority="162" stopIfTrue="1">
      <formula>RiskIsInput</formula>
    </cfRule>
  </conditionalFormatting>
  <conditionalFormatting sqref="I26">
    <cfRule type="expression" dxfId="180" priority="163" stopIfTrue="1">
      <formula>RiskIsInput</formula>
    </cfRule>
  </conditionalFormatting>
  <conditionalFormatting sqref="J26">
    <cfRule type="expression" dxfId="179" priority="164" stopIfTrue="1">
      <formula>RiskIsInput</formula>
    </cfRule>
  </conditionalFormatting>
  <conditionalFormatting sqref="K26">
    <cfRule type="expression" dxfId="178" priority="165" stopIfTrue="1">
      <formula>RiskIsInput</formula>
    </cfRule>
  </conditionalFormatting>
  <conditionalFormatting sqref="L26">
    <cfRule type="expression" dxfId="177" priority="166" stopIfTrue="1">
      <formula>RiskIsInput</formula>
    </cfRule>
  </conditionalFormatting>
  <conditionalFormatting sqref="M26">
    <cfRule type="expression" dxfId="176" priority="167" stopIfTrue="1">
      <formula>RiskIsInput</formula>
    </cfRule>
  </conditionalFormatting>
  <conditionalFormatting sqref="N26">
    <cfRule type="expression" dxfId="175" priority="168" stopIfTrue="1">
      <formula>RiskIsInput</formula>
    </cfRule>
  </conditionalFormatting>
  <conditionalFormatting sqref="O26">
    <cfRule type="expression" dxfId="174" priority="169" stopIfTrue="1">
      <formula>RiskIsInput</formula>
    </cfRule>
  </conditionalFormatting>
  <conditionalFormatting sqref="P26">
    <cfRule type="expression" dxfId="173" priority="170" stopIfTrue="1">
      <formula>RiskIsInput</formula>
    </cfRule>
  </conditionalFormatting>
  <conditionalFormatting sqref="Q26">
    <cfRule type="expression" dxfId="172" priority="171" stopIfTrue="1">
      <formula>RiskIsInput</formula>
    </cfRule>
  </conditionalFormatting>
  <conditionalFormatting sqref="R26">
    <cfRule type="expression" dxfId="171" priority="172" stopIfTrue="1">
      <formula>RiskIsInput</formula>
    </cfRule>
  </conditionalFormatting>
  <conditionalFormatting sqref="S26">
    <cfRule type="expression" dxfId="170" priority="173" stopIfTrue="1">
      <formula>RiskIsInput</formula>
    </cfRule>
  </conditionalFormatting>
  <conditionalFormatting sqref="T26">
    <cfRule type="expression" dxfId="169" priority="174" stopIfTrue="1">
      <formula>RiskIsInput</formula>
    </cfRule>
  </conditionalFormatting>
  <conditionalFormatting sqref="U26">
    <cfRule type="expression" dxfId="168" priority="175" stopIfTrue="1">
      <formula>RiskIsInput</formula>
    </cfRule>
  </conditionalFormatting>
  <conditionalFormatting sqref="V26">
    <cfRule type="expression" dxfId="167" priority="176" stopIfTrue="1">
      <formula>RiskIsInput</formula>
    </cfRule>
  </conditionalFormatting>
  <conditionalFormatting sqref="W26">
    <cfRule type="expression" dxfId="166" priority="177" stopIfTrue="1">
      <formula>RiskIsInput</formula>
    </cfRule>
  </conditionalFormatting>
  <conditionalFormatting sqref="X26">
    <cfRule type="expression" dxfId="165" priority="178" stopIfTrue="1">
      <formula>RiskIsInput</formula>
    </cfRule>
  </conditionalFormatting>
  <conditionalFormatting sqref="Y26">
    <cfRule type="expression" dxfId="164" priority="179" stopIfTrue="1">
      <formula>RiskIsInput</formula>
    </cfRule>
  </conditionalFormatting>
  <conditionalFormatting sqref="Z26">
    <cfRule type="expression" dxfId="163" priority="180" stopIfTrue="1">
      <formula>RiskIsInput</formula>
    </cfRule>
  </conditionalFormatting>
  <conditionalFormatting sqref="AA26">
    <cfRule type="expression" dxfId="162" priority="181" stopIfTrue="1">
      <formula>RiskIsInput</formula>
    </cfRule>
  </conditionalFormatting>
  <conditionalFormatting sqref="AB26">
    <cfRule type="expression" dxfId="161" priority="182" stopIfTrue="1">
      <formula>RiskIsInput</formula>
    </cfRule>
  </conditionalFormatting>
  <conditionalFormatting sqref="AC26">
    <cfRule type="expression" dxfId="160" priority="183" stopIfTrue="1">
      <formula>RiskIsInput</formula>
    </cfRule>
  </conditionalFormatting>
  <conditionalFormatting sqref="AD26">
    <cfRule type="expression" dxfId="159" priority="184" stopIfTrue="1">
      <formula>RiskIsInput</formula>
    </cfRule>
  </conditionalFormatting>
  <conditionalFormatting sqref="AE26">
    <cfRule type="expression" dxfId="158" priority="185" stopIfTrue="1">
      <formula>RiskIsInput</formula>
    </cfRule>
  </conditionalFormatting>
  <conditionalFormatting sqref="AF26">
    <cfRule type="expression" dxfId="157" priority="186" stopIfTrue="1">
      <formula>RiskIsInput</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workbookViewId="0">
      <selection activeCell="B8" sqref="B8"/>
    </sheetView>
  </sheetViews>
  <sheetFormatPr defaultRowHeight="15" x14ac:dyDescent="0.25"/>
  <cols>
    <col min="1" max="1" width="25" bestFit="1" customWidth="1"/>
    <col min="2" max="2" width="15.5703125" bestFit="1" customWidth="1"/>
    <col min="3" max="8" width="13.5703125" bestFit="1" customWidth="1"/>
    <col min="9" max="32" width="11.85546875" bestFit="1" customWidth="1"/>
  </cols>
  <sheetData>
    <row r="1" spans="1:32" ht="60" x14ac:dyDescent="0.25">
      <c r="A1" s="12" t="s">
        <v>105</v>
      </c>
    </row>
    <row r="2" spans="1:32" x14ac:dyDescent="0.25">
      <c r="B2">
        <v>1995</v>
      </c>
      <c r="C2">
        <v>1996</v>
      </c>
      <c r="D2">
        <v>1997</v>
      </c>
      <c r="E2">
        <v>1998</v>
      </c>
      <c r="F2">
        <v>1999</v>
      </c>
      <c r="G2">
        <v>2000</v>
      </c>
      <c r="H2">
        <v>2001</v>
      </c>
      <c r="I2">
        <v>2002</v>
      </c>
      <c r="J2">
        <v>2003</v>
      </c>
      <c r="K2">
        <v>2004</v>
      </c>
      <c r="L2">
        <v>2005</v>
      </c>
      <c r="M2">
        <v>2006</v>
      </c>
      <c r="N2">
        <v>2007</v>
      </c>
      <c r="O2">
        <v>2008</v>
      </c>
      <c r="P2">
        <v>2009</v>
      </c>
      <c r="Q2">
        <v>2010</v>
      </c>
      <c r="R2">
        <v>2011</v>
      </c>
      <c r="S2">
        <v>2012</v>
      </c>
      <c r="T2">
        <v>2013</v>
      </c>
      <c r="U2">
        <v>2014</v>
      </c>
      <c r="V2">
        <v>2015</v>
      </c>
      <c r="W2">
        <v>2016</v>
      </c>
      <c r="X2">
        <v>2017</v>
      </c>
      <c r="Y2">
        <v>2018</v>
      </c>
      <c r="Z2">
        <v>2019</v>
      </c>
      <c r="AA2">
        <v>2020</v>
      </c>
      <c r="AB2">
        <v>2021</v>
      </c>
      <c r="AC2">
        <v>2022</v>
      </c>
      <c r="AD2">
        <v>2023</v>
      </c>
      <c r="AE2">
        <v>2024</v>
      </c>
      <c r="AF2">
        <v>2025</v>
      </c>
    </row>
    <row r="4" spans="1:32" x14ac:dyDescent="0.25">
      <c r="A4" t="s">
        <v>0</v>
      </c>
      <c r="B4" s="6">
        <v>103.5</v>
      </c>
      <c r="C4" s="6">
        <v>103.5</v>
      </c>
      <c r="D4" s="6">
        <v>103.5</v>
      </c>
      <c r="E4" s="6">
        <v>103.5</v>
      </c>
      <c r="F4" s="6">
        <v>103.5</v>
      </c>
      <c r="G4" s="6">
        <v>103.5</v>
      </c>
      <c r="H4" s="6">
        <v>103.5</v>
      </c>
      <c r="I4" s="6">
        <v>103.5</v>
      </c>
      <c r="J4" s="6">
        <v>103.5</v>
      </c>
      <c r="K4" s="6">
        <v>103.5</v>
      </c>
      <c r="L4" s="6">
        <v>103.5</v>
      </c>
      <c r="M4" s="6">
        <v>103.5</v>
      </c>
      <c r="N4" s="6">
        <v>103.5</v>
      </c>
      <c r="O4" s="6">
        <v>103.5</v>
      </c>
      <c r="P4" s="6">
        <v>103.5</v>
      </c>
      <c r="Q4" s="6">
        <v>103.5</v>
      </c>
      <c r="R4" s="6">
        <v>103.5</v>
      </c>
      <c r="S4" s="6">
        <v>103.5</v>
      </c>
      <c r="T4" s="6">
        <v>103.5</v>
      </c>
      <c r="U4" s="6">
        <v>103.5</v>
      </c>
      <c r="V4" s="6">
        <v>103.5</v>
      </c>
      <c r="W4" s="6">
        <v>103.5</v>
      </c>
      <c r="X4" s="6">
        <v>103.5</v>
      </c>
      <c r="Y4" s="6">
        <v>103.5</v>
      </c>
      <c r="Z4" s="6">
        <v>103.5</v>
      </c>
      <c r="AA4" s="6">
        <v>103.5</v>
      </c>
      <c r="AB4" s="6">
        <v>103.5</v>
      </c>
      <c r="AC4" s="6">
        <v>103.5</v>
      </c>
      <c r="AD4" s="6">
        <v>103.5</v>
      </c>
      <c r="AE4" s="6">
        <v>103.5</v>
      </c>
      <c r="AF4" s="6">
        <v>103.5</v>
      </c>
    </row>
    <row r="5" spans="1:32" x14ac:dyDescent="0.25">
      <c r="A5" t="s">
        <v>107</v>
      </c>
      <c r="B5" s="3">
        <v>31.8</v>
      </c>
      <c r="C5" s="3">
        <v>31.8</v>
      </c>
      <c r="D5" s="3">
        <v>31.8</v>
      </c>
      <c r="E5" s="3">
        <v>31.8</v>
      </c>
      <c r="F5" s="3">
        <v>31.8</v>
      </c>
      <c r="G5" s="3">
        <v>31.8</v>
      </c>
      <c r="H5" s="3">
        <v>31.8</v>
      </c>
      <c r="I5" s="3">
        <v>31.8</v>
      </c>
      <c r="J5" s="3">
        <v>31.8</v>
      </c>
      <c r="K5" s="3">
        <v>31.8</v>
      </c>
      <c r="L5" s="3">
        <v>31.8</v>
      </c>
      <c r="M5" s="3">
        <v>31.8</v>
      </c>
      <c r="N5" s="3">
        <v>31.8</v>
      </c>
      <c r="O5" s="3">
        <v>31.8</v>
      </c>
      <c r="P5" s="3">
        <v>31.8</v>
      </c>
      <c r="Q5" s="3">
        <v>31.8</v>
      </c>
      <c r="R5" s="3">
        <v>32</v>
      </c>
      <c r="S5" s="3">
        <v>32.5</v>
      </c>
      <c r="T5" s="3">
        <v>33</v>
      </c>
      <c r="U5" s="3">
        <v>33.5</v>
      </c>
      <c r="V5" s="3">
        <v>34</v>
      </c>
      <c r="W5" s="3">
        <v>34.5</v>
      </c>
      <c r="X5" s="3">
        <v>35</v>
      </c>
      <c r="Y5" s="3">
        <v>35.5</v>
      </c>
      <c r="Z5" s="3">
        <v>36</v>
      </c>
      <c r="AA5" s="3">
        <v>36.5</v>
      </c>
      <c r="AB5" s="3">
        <v>37</v>
      </c>
      <c r="AC5" s="3">
        <v>37.5</v>
      </c>
      <c r="AD5" s="3">
        <v>38</v>
      </c>
      <c r="AE5" s="3">
        <v>38.5</v>
      </c>
      <c r="AF5" s="3">
        <v>39</v>
      </c>
    </row>
    <row r="6" spans="1:32" x14ac:dyDescent="0.25">
      <c r="A6" t="s">
        <v>20</v>
      </c>
      <c r="B6" s="4">
        <v>0</v>
      </c>
      <c r="C6" s="3">
        <v>0</v>
      </c>
      <c r="D6" s="3">
        <v>-0.5</v>
      </c>
      <c r="E6" s="3">
        <v>-1</v>
      </c>
      <c r="F6" s="3">
        <v>0</v>
      </c>
      <c r="G6" s="3">
        <v>-1</v>
      </c>
      <c r="H6" s="3">
        <v>0</v>
      </c>
      <c r="I6" s="3">
        <v>-1</v>
      </c>
      <c r="J6" s="3">
        <v>0</v>
      </c>
      <c r="K6" s="3">
        <v>-1</v>
      </c>
      <c r="L6" s="3">
        <v>-2</v>
      </c>
      <c r="M6" s="3">
        <v>-2.5</v>
      </c>
      <c r="N6" s="3">
        <v>-3</v>
      </c>
      <c r="O6" s="3">
        <v>-4</v>
      </c>
      <c r="P6" s="3">
        <v>-3</v>
      </c>
      <c r="Q6" s="3">
        <v>-3</v>
      </c>
      <c r="R6" s="3">
        <v>-4</v>
      </c>
      <c r="S6" s="3">
        <v>-3.5</v>
      </c>
      <c r="T6">
        <v>-3</v>
      </c>
      <c r="U6">
        <v>-2.5</v>
      </c>
      <c r="V6">
        <v>-2</v>
      </c>
      <c r="W6">
        <v>-1</v>
      </c>
      <c r="X6">
        <v>0</v>
      </c>
      <c r="Y6">
        <v>-1</v>
      </c>
      <c r="Z6">
        <v>0</v>
      </c>
      <c r="AA6">
        <v>-1</v>
      </c>
      <c r="AB6">
        <v>0</v>
      </c>
      <c r="AC6">
        <v>-1</v>
      </c>
      <c r="AD6">
        <v>-0.5</v>
      </c>
      <c r="AE6">
        <v>0</v>
      </c>
      <c r="AF6">
        <v>0</v>
      </c>
    </row>
    <row r="7" spans="1:32" x14ac:dyDescent="0.25">
      <c r="A7" t="s">
        <v>8</v>
      </c>
      <c r="B7" s="3">
        <f>B5+B6</f>
        <v>31.8</v>
      </c>
      <c r="C7" s="3">
        <f t="shared" ref="C7:AD7" si="0">C5+C6</f>
        <v>31.8</v>
      </c>
      <c r="D7" s="3">
        <f t="shared" si="0"/>
        <v>31.3</v>
      </c>
      <c r="E7" s="3">
        <f t="shared" si="0"/>
        <v>30.8</v>
      </c>
      <c r="F7" s="3">
        <f t="shared" si="0"/>
        <v>31.8</v>
      </c>
      <c r="G7" s="3">
        <f t="shared" si="0"/>
        <v>30.8</v>
      </c>
      <c r="H7" s="3">
        <f t="shared" si="0"/>
        <v>31.8</v>
      </c>
      <c r="I7" s="3">
        <f t="shared" si="0"/>
        <v>30.8</v>
      </c>
      <c r="J7" s="3">
        <f t="shared" si="0"/>
        <v>31.8</v>
      </c>
      <c r="K7" s="3">
        <f t="shared" si="0"/>
        <v>30.8</v>
      </c>
      <c r="L7" s="3">
        <f t="shared" si="0"/>
        <v>29.8</v>
      </c>
      <c r="M7" s="3">
        <f t="shared" si="0"/>
        <v>29.3</v>
      </c>
      <c r="N7" s="3">
        <f t="shared" si="0"/>
        <v>28.8</v>
      </c>
      <c r="O7" s="3">
        <f t="shared" si="0"/>
        <v>27.8</v>
      </c>
      <c r="P7" s="3">
        <f t="shared" si="0"/>
        <v>28.8</v>
      </c>
      <c r="Q7" s="3">
        <f t="shared" si="0"/>
        <v>28.8</v>
      </c>
      <c r="R7" s="3">
        <f t="shared" si="0"/>
        <v>28</v>
      </c>
      <c r="S7" s="3">
        <f t="shared" si="0"/>
        <v>29</v>
      </c>
      <c r="T7" s="3">
        <f t="shared" si="0"/>
        <v>30</v>
      </c>
      <c r="U7" s="3">
        <f t="shared" si="0"/>
        <v>31</v>
      </c>
      <c r="V7" s="3">
        <f t="shared" si="0"/>
        <v>32</v>
      </c>
      <c r="W7" s="3">
        <f t="shared" si="0"/>
        <v>33.5</v>
      </c>
      <c r="X7" s="3">
        <f t="shared" si="0"/>
        <v>35</v>
      </c>
      <c r="Y7" s="3">
        <f t="shared" si="0"/>
        <v>34.5</v>
      </c>
      <c r="Z7" s="3">
        <f t="shared" si="0"/>
        <v>36</v>
      </c>
      <c r="AA7" s="3">
        <f t="shared" si="0"/>
        <v>35.5</v>
      </c>
      <c r="AB7" s="3">
        <f t="shared" si="0"/>
        <v>37</v>
      </c>
      <c r="AC7" s="3">
        <f t="shared" si="0"/>
        <v>36.5</v>
      </c>
      <c r="AD7" s="3">
        <f t="shared" si="0"/>
        <v>37.5</v>
      </c>
      <c r="AE7">
        <f t="shared" ref="AE7:AF7" si="1">AD7-0.2</f>
        <v>37.299999999999997</v>
      </c>
      <c r="AF7">
        <f t="shared" si="1"/>
        <v>37.099999999999994</v>
      </c>
    </row>
    <row r="8" spans="1:32" x14ac:dyDescent="0.25">
      <c r="A8" t="s">
        <v>10</v>
      </c>
      <c r="B8" s="9">
        <f>28.10645468</f>
        <v>28.106454679999999</v>
      </c>
      <c r="C8" s="9">
        <f>28.10645468</f>
        <v>28.106454679999999</v>
      </c>
      <c r="D8" s="9">
        <f>27.60645468</f>
        <v>27.606454679999999</v>
      </c>
      <c r="E8" s="9">
        <f>27.10645468</f>
        <v>27.106454679999999</v>
      </c>
      <c r="F8" s="9">
        <f>28.10645468</f>
        <v>28.106454679999999</v>
      </c>
      <c r="G8" s="9">
        <f>27.10645468</f>
        <v>27.106454679999999</v>
      </c>
      <c r="H8" s="9">
        <f>28.10645468</f>
        <v>28.106454679999999</v>
      </c>
      <c r="I8" s="9">
        <f>27.10645468</f>
        <v>27.106454679999999</v>
      </c>
      <c r="J8" s="9">
        <f>28.10645468</f>
        <v>28.106454679999999</v>
      </c>
      <c r="K8" s="9">
        <f>27.10645468</f>
        <v>27.106454679999999</v>
      </c>
      <c r="L8" s="9">
        <f>26.10645468</f>
        <v>26.106454679999999</v>
      </c>
      <c r="M8" s="9">
        <f>25.60645468</f>
        <v>25.606454679999999</v>
      </c>
      <c r="N8" s="9">
        <f>25.10645468</f>
        <v>25.106454679999999</v>
      </c>
      <c r="O8" s="9">
        <f>24.10645468</f>
        <v>24.106454679999999</v>
      </c>
      <c r="P8" s="9">
        <f>25.10645468</f>
        <v>25.106454679999999</v>
      </c>
      <c r="Q8">
        <f>28.8</f>
        <v>28.8</v>
      </c>
      <c r="R8">
        <f>28</f>
        <v>28</v>
      </c>
      <c r="S8">
        <f>29</f>
        <v>29</v>
      </c>
      <c r="T8">
        <f>30</f>
        <v>30</v>
      </c>
      <c r="U8">
        <f>31</f>
        <v>31</v>
      </c>
      <c r="V8">
        <f>32</f>
        <v>32</v>
      </c>
      <c r="W8">
        <f>33.5</f>
        <v>33.5</v>
      </c>
      <c r="X8">
        <f>35</f>
        <v>35</v>
      </c>
      <c r="Y8">
        <f>34.5</f>
        <v>34.5</v>
      </c>
      <c r="Z8">
        <f>36</f>
        <v>36</v>
      </c>
      <c r="AA8">
        <f>35.5</f>
        <v>35.5</v>
      </c>
      <c r="AB8">
        <f>37</f>
        <v>37</v>
      </c>
      <c r="AC8">
        <f>36.5</f>
        <v>36.5</v>
      </c>
      <c r="AD8">
        <f>37.5</f>
        <v>37.5</v>
      </c>
      <c r="AE8">
        <f>37.3</f>
        <v>37.299999999999997</v>
      </c>
      <c r="AF8">
        <f>37.1</f>
        <v>37.1</v>
      </c>
    </row>
    <row r="9" spans="1:32" x14ac:dyDescent="0.25">
      <c r="A9" t="s">
        <v>39</v>
      </c>
      <c r="B9" t="s">
        <v>37</v>
      </c>
      <c r="C9" t="s">
        <v>37</v>
      </c>
      <c r="D9" t="s">
        <v>37</v>
      </c>
      <c r="E9" t="s">
        <v>37</v>
      </c>
      <c r="F9" t="s">
        <v>37</v>
      </c>
      <c r="G9" t="s">
        <v>37</v>
      </c>
      <c r="H9" t="s">
        <v>37</v>
      </c>
      <c r="I9" t="s">
        <v>37</v>
      </c>
      <c r="J9" t="s">
        <v>37</v>
      </c>
      <c r="K9" t="s">
        <v>37</v>
      </c>
      <c r="L9" t="s">
        <v>37</v>
      </c>
      <c r="M9" t="s">
        <v>37</v>
      </c>
      <c r="N9" t="s">
        <v>37</v>
      </c>
      <c r="O9" t="s">
        <v>37</v>
      </c>
      <c r="P9" t="s">
        <v>37</v>
      </c>
      <c r="Q9" s="17" t="s">
        <v>42</v>
      </c>
      <c r="R9" s="17" t="s">
        <v>42</v>
      </c>
      <c r="S9" s="17" t="s">
        <v>42</v>
      </c>
      <c r="T9" s="17" t="s">
        <v>42</v>
      </c>
      <c r="U9" s="17" t="s">
        <v>42</v>
      </c>
      <c r="V9" s="17" t="s">
        <v>42</v>
      </c>
      <c r="W9" s="17" t="s">
        <v>42</v>
      </c>
      <c r="X9" s="17" t="s">
        <v>42</v>
      </c>
      <c r="Y9" s="17" t="s">
        <v>42</v>
      </c>
      <c r="Z9" s="17" t="s">
        <v>42</v>
      </c>
      <c r="AA9" s="17" t="s">
        <v>42</v>
      </c>
      <c r="AB9" s="17" t="s">
        <v>42</v>
      </c>
      <c r="AC9" s="17" t="s">
        <v>42</v>
      </c>
      <c r="AD9" s="17" t="s">
        <v>42</v>
      </c>
      <c r="AE9" s="17" t="s">
        <v>42</v>
      </c>
      <c r="AF9" s="17" t="s">
        <v>42</v>
      </c>
    </row>
    <row r="10" spans="1:32" x14ac:dyDescent="0.25">
      <c r="A10" t="s">
        <v>40</v>
      </c>
      <c r="B10">
        <v>2000</v>
      </c>
      <c r="C10">
        <v>2000</v>
      </c>
      <c r="D10">
        <v>2000</v>
      </c>
      <c r="E10">
        <v>2000</v>
      </c>
      <c r="F10">
        <v>2000</v>
      </c>
      <c r="G10">
        <v>2000</v>
      </c>
      <c r="H10">
        <v>2000</v>
      </c>
      <c r="I10">
        <v>2000</v>
      </c>
      <c r="J10">
        <v>2000</v>
      </c>
      <c r="K10">
        <v>2000</v>
      </c>
      <c r="L10">
        <v>2000</v>
      </c>
      <c r="M10">
        <v>2000</v>
      </c>
      <c r="N10">
        <v>2000</v>
      </c>
      <c r="O10">
        <v>2000</v>
      </c>
      <c r="P10">
        <v>2000</v>
      </c>
      <c r="Q10">
        <v>2000</v>
      </c>
      <c r="R10">
        <v>2000</v>
      </c>
      <c r="S10">
        <v>2000</v>
      </c>
      <c r="T10">
        <v>2000</v>
      </c>
      <c r="U10">
        <v>2000</v>
      </c>
      <c r="V10">
        <v>2000</v>
      </c>
      <c r="W10">
        <v>2000</v>
      </c>
      <c r="X10">
        <v>2000</v>
      </c>
      <c r="Y10">
        <v>2000</v>
      </c>
      <c r="Z10">
        <v>2000</v>
      </c>
      <c r="AA10">
        <v>2000</v>
      </c>
      <c r="AB10">
        <v>2000</v>
      </c>
      <c r="AC10">
        <v>2000</v>
      </c>
      <c r="AD10">
        <v>2000</v>
      </c>
      <c r="AE10">
        <v>2000</v>
      </c>
      <c r="AF10">
        <v>2000</v>
      </c>
    </row>
    <row r="11" spans="1:32" x14ac:dyDescent="0.25">
      <c r="A11" t="s">
        <v>41</v>
      </c>
      <c r="B11" s="8">
        <f>B8*B10</f>
        <v>56212.909359999998</v>
      </c>
      <c r="C11" s="8">
        <f>C8*C10</f>
        <v>56212.909359999998</v>
      </c>
      <c r="D11" s="8">
        <f>D8*D10</f>
        <v>55212.909359999998</v>
      </c>
      <c r="E11" s="8">
        <f>E8*E10</f>
        <v>54212.909359999998</v>
      </c>
      <c r="F11" s="8">
        <f>F8*F10</f>
        <v>56212.909359999998</v>
      </c>
      <c r="G11" s="8">
        <f>G8*G10</f>
        <v>54212.909359999998</v>
      </c>
      <c r="H11" s="8">
        <f>H8*H10</f>
        <v>56212.909359999998</v>
      </c>
      <c r="I11" s="8">
        <f>I8*I10</f>
        <v>54212.909359999998</v>
      </c>
      <c r="J11" s="8">
        <f>J8*J10</f>
        <v>56212.909359999998</v>
      </c>
      <c r="K11" s="8">
        <f>K8*K10</f>
        <v>54212.909359999998</v>
      </c>
      <c r="L11" s="8">
        <f>L8*L10</f>
        <v>52212.909359999998</v>
      </c>
      <c r="M11" s="8">
        <f>M8*M10</f>
        <v>51212.909359999998</v>
      </c>
      <c r="N11" s="8">
        <f>N8*N10</f>
        <v>50212.909359999998</v>
      </c>
      <c r="O11" s="8">
        <f>O8*O10</f>
        <v>48212.909359999998</v>
      </c>
      <c r="P11" s="8">
        <f>P8*P10</f>
        <v>50212.909359999998</v>
      </c>
      <c r="Q11">
        <f>Q8*Q10</f>
        <v>57600</v>
      </c>
      <c r="R11">
        <f>R8*R10</f>
        <v>56000</v>
      </c>
      <c r="S11">
        <f>S8*S10</f>
        <v>58000</v>
      </c>
      <c r="T11">
        <f>T8*T10</f>
        <v>60000</v>
      </c>
      <c r="U11">
        <f>U8*U10</f>
        <v>62000</v>
      </c>
      <c r="V11">
        <f>V8*V10</f>
        <v>64000</v>
      </c>
      <c r="W11">
        <f>W8*W10</f>
        <v>67000</v>
      </c>
      <c r="X11">
        <f>X8*X10</f>
        <v>70000</v>
      </c>
      <c r="Y11">
        <f>Y8*Y10</f>
        <v>69000</v>
      </c>
      <c r="Z11">
        <f>Z8*Z10</f>
        <v>72000</v>
      </c>
      <c r="AA11">
        <f>AA8*AA10</f>
        <v>71000</v>
      </c>
      <c r="AB11">
        <f>AB8*AB10</f>
        <v>74000</v>
      </c>
      <c r="AC11">
        <f>AC8*AC10</f>
        <v>73000</v>
      </c>
      <c r="AD11">
        <f>AD8*AD10</f>
        <v>75000</v>
      </c>
      <c r="AE11">
        <f>AE8*AE10</f>
        <v>74600</v>
      </c>
      <c r="AF11">
        <f>AF8*AF10</f>
        <v>74200</v>
      </c>
    </row>
    <row r="12" spans="1:32" x14ac:dyDescent="0.25">
      <c r="A12" t="s">
        <v>7</v>
      </c>
      <c r="B12" s="1">
        <f t="shared" ref="B12:AF12" si="2">B4*B10</f>
        <v>207000</v>
      </c>
      <c r="C12" s="1">
        <f t="shared" si="2"/>
        <v>207000</v>
      </c>
      <c r="D12" s="1">
        <f t="shared" si="2"/>
        <v>207000</v>
      </c>
      <c r="E12" s="1">
        <f t="shared" si="2"/>
        <v>207000</v>
      </c>
      <c r="F12" s="1">
        <f t="shared" si="2"/>
        <v>207000</v>
      </c>
      <c r="G12" s="1">
        <f t="shared" si="2"/>
        <v>207000</v>
      </c>
      <c r="H12" s="1">
        <f t="shared" si="2"/>
        <v>207000</v>
      </c>
      <c r="I12" s="1">
        <f t="shared" si="2"/>
        <v>207000</v>
      </c>
      <c r="J12" s="1">
        <f t="shared" si="2"/>
        <v>207000</v>
      </c>
      <c r="K12" s="1">
        <f t="shared" si="2"/>
        <v>207000</v>
      </c>
      <c r="L12" s="1">
        <f t="shared" si="2"/>
        <v>207000</v>
      </c>
      <c r="M12" s="1">
        <f t="shared" si="2"/>
        <v>207000</v>
      </c>
      <c r="N12" s="1">
        <f t="shared" si="2"/>
        <v>207000</v>
      </c>
      <c r="O12" s="1">
        <f t="shared" si="2"/>
        <v>207000</v>
      </c>
      <c r="P12" s="1">
        <f t="shared" si="2"/>
        <v>207000</v>
      </c>
      <c r="Q12" s="1">
        <f t="shared" si="2"/>
        <v>207000</v>
      </c>
      <c r="R12" s="1">
        <f t="shared" si="2"/>
        <v>207000</v>
      </c>
      <c r="S12" s="1">
        <f t="shared" si="2"/>
        <v>207000</v>
      </c>
      <c r="T12" s="1">
        <f t="shared" si="2"/>
        <v>207000</v>
      </c>
      <c r="U12" s="1">
        <f t="shared" si="2"/>
        <v>207000</v>
      </c>
      <c r="V12" s="1">
        <f t="shared" si="2"/>
        <v>207000</v>
      </c>
      <c r="W12" s="1">
        <f t="shared" si="2"/>
        <v>207000</v>
      </c>
      <c r="X12" s="1">
        <f t="shared" si="2"/>
        <v>207000</v>
      </c>
      <c r="Y12" s="1">
        <f t="shared" si="2"/>
        <v>207000</v>
      </c>
      <c r="Z12" s="1">
        <f t="shared" si="2"/>
        <v>207000</v>
      </c>
      <c r="AA12" s="1">
        <f t="shared" si="2"/>
        <v>207000</v>
      </c>
      <c r="AB12" s="1">
        <f t="shared" si="2"/>
        <v>207000</v>
      </c>
      <c r="AC12" s="1">
        <f t="shared" si="2"/>
        <v>207000</v>
      </c>
      <c r="AD12" s="1">
        <f t="shared" si="2"/>
        <v>207000</v>
      </c>
      <c r="AE12" s="1">
        <f t="shared" si="2"/>
        <v>207000</v>
      </c>
      <c r="AF12" s="1">
        <f t="shared" si="2"/>
        <v>207000</v>
      </c>
    </row>
    <row r="13" spans="1:32" x14ac:dyDescent="0.25">
      <c r="A13" t="s">
        <v>3</v>
      </c>
      <c r="B13" s="2">
        <v>4.2</v>
      </c>
      <c r="C13" s="2">
        <v>4.2</v>
      </c>
      <c r="D13" s="2">
        <v>4.2</v>
      </c>
      <c r="E13" s="2">
        <v>4.2</v>
      </c>
      <c r="F13" s="2">
        <v>4.2</v>
      </c>
      <c r="G13" s="2">
        <v>4.2</v>
      </c>
      <c r="H13" s="2">
        <v>4.2</v>
      </c>
      <c r="I13" s="2">
        <v>4.2</v>
      </c>
      <c r="J13" s="2">
        <v>4.2</v>
      </c>
      <c r="K13" s="2">
        <v>4.2</v>
      </c>
      <c r="L13" s="2">
        <v>4.2</v>
      </c>
      <c r="M13" s="2">
        <v>4.2</v>
      </c>
      <c r="N13" s="2">
        <v>4.2</v>
      </c>
      <c r="O13" s="2">
        <v>4.2</v>
      </c>
      <c r="P13" s="2">
        <v>4.2</v>
      </c>
      <c r="Q13" s="2">
        <v>4.2</v>
      </c>
      <c r="R13" s="2">
        <v>4.2</v>
      </c>
      <c r="S13" s="2">
        <v>4.2</v>
      </c>
      <c r="T13" s="2">
        <v>4.2</v>
      </c>
      <c r="U13" s="2">
        <v>4.2</v>
      </c>
      <c r="V13" s="2">
        <v>4.2</v>
      </c>
      <c r="W13" s="2">
        <v>4.2</v>
      </c>
      <c r="X13" s="2">
        <v>4.2</v>
      </c>
      <c r="Y13" s="2">
        <v>4.2</v>
      </c>
      <c r="Z13" s="2">
        <v>4.2</v>
      </c>
      <c r="AA13" s="2">
        <v>4.2</v>
      </c>
      <c r="AB13" s="2">
        <v>4.2</v>
      </c>
      <c r="AC13" s="2">
        <v>4.2</v>
      </c>
      <c r="AD13" s="2">
        <v>4.2</v>
      </c>
      <c r="AE13" s="2">
        <v>4.2</v>
      </c>
      <c r="AF13" s="2">
        <v>4.2</v>
      </c>
    </row>
    <row r="14" spans="1:32" x14ac:dyDescent="0.25">
      <c r="B14" s="2"/>
    </row>
    <row r="15" spans="1:32" x14ac:dyDescent="0.25">
      <c r="A15" t="s">
        <v>4</v>
      </c>
      <c r="B15" s="2">
        <f>B11*B13</f>
        <v>236094.219312</v>
      </c>
      <c r="C15" s="2">
        <f>C11*C13</f>
        <v>236094.219312</v>
      </c>
      <c r="D15" s="2">
        <f>D11*D13</f>
        <v>231894.219312</v>
      </c>
      <c r="E15" s="2">
        <f>E11*E13</f>
        <v>227694.219312</v>
      </c>
      <c r="F15" s="2">
        <f>F11*F13</f>
        <v>236094.219312</v>
      </c>
      <c r="G15" s="2">
        <f>G11*G13</f>
        <v>227694.219312</v>
      </c>
      <c r="H15" s="2">
        <f>H11*H13</f>
        <v>236094.219312</v>
      </c>
      <c r="I15" s="2">
        <f>I11*I13</f>
        <v>227694.219312</v>
      </c>
      <c r="J15" s="2">
        <f>J11*J13</f>
        <v>236094.219312</v>
      </c>
      <c r="K15" s="2">
        <f>K11*K13</f>
        <v>227694.219312</v>
      </c>
      <c r="L15" s="2">
        <f>L11*L13</f>
        <v>219294.219312</v>
      </c>
      <c r="M15" s="2">
        <f>M11*M13</f>
        <v>215094.219312</v>
      </c>
      <c r="N15" s="2">
        <f>N11*N13</f>
        <v>210894.219312</v>
      </c>
      <c r="O15" s="2">
        <f>O11*O13</f>
        <v>202494.219312</v>
      </c>
      <c r="P15" s="2">
        <f>P11*P13</f>
        <v>210894.219312</v>
      </c>
      <c r="Q15" s="2">
        <f>Q11*Q13</f>
        <v>241920</v>
      </c>
      <c r="R15" s="2">
        <f>R11*R13</f>
        <v>235200</v>
      </c>
      <c r="S15" s="2">
        <f>S11*S13</f>
        <v>243600</v>
      </c>
      <c r="T15" s="2">
        <f>T11*T13</f>
        <v>252000</v>
      </c>
      <c r="U15" s="2">
        <f>U11*U13</f>
        <v>260400</v>
      </c>
      <c r="V15" s="2">
        <f>V11*V13</f>
        <v>268800</v>
      </c>
      <c r="W15" s="2">
        <f>W11*W13</f>
        <v>281400</v>
      </c>
      <c r="X15" s="2">
        <f>X11*X13</f>
        <v>294000</v>
      </c>
      <c r="Y15" s="2">
        <f>Y11*Y13</f>
        <v>289800</v>
      </c>
      <c r="Z15" s="2">
        <f>Z11*Z13</f>
        <v>302400</v>
      </c>
      <c r="AA15" s="2">
        <f>AA11*AA13</f>
        <v>298200</v>
      </c>
      <c r="AB15" s="2">
        <f>AB11*AB13</f>
        <v>310800</v>
      </c>
      <c r="AC15" s="2">
        <f>AC11*AC13</f>
        <v>306600</v>
      </c>
      <c r="AD15" s="2">
        <f>AD11*AD13</f>
        <v>315000</v>
      </c>
      <c r="AE15" s="2">
        <f>AE11*AE13</f>
        <v>313320</v>
      </c>
      <c r="AF15" s="2">
        <f>AF11*AF13</f>
        <v>311640</v>
      </c>
    </row>
    <row r="16" spans="1:32" x14ac:dyDescent="0.25">
      <c r="A16" t="s">
        <v>5</v>
      </c>
      <c r="B16" s="2">
        <f>B15-B12</f>
        <v>29094.219312000001</v>
      </c>
      <c r="C16" s="2">
        <f>C15-C12</f>
        <v>29094.219312000001</v>
      </c>
      <c r="D16" s="2">
        <f>D15-D12</f>
        <v>24894.219312000001</v>
      </c>
      <c r="E16" s="2">
        <f>E15-E12</f>
        <v>20694.219312000001</v>
      </c>
      <c r="F16" s="2">
        <f>F15-F12</f>
        <v>29094.219312000001</v>
      </c>
      <c r="G16" s="2">
        <f>G15-G12</f>
        <v>20694.219312000001</v>
      </c>
      <c r="H16" s="2">
        <f>H15-H12</f>
        <v>29094.219312000001</v>
      </c>
      <c r="I16" s="2">
        <f>I15-I12</f>
        <v>20694.219312000001</v>
      </c>
      <c r="J16" s="2">
        <f>J15-J12</f>
        <v>29094.219312000001</v>
      </c>
      <c r="K16" s="2">
        <f>K15-K12</f>
        <v>20694.219312000001</v>
      </c>
      <c r="L16" s="2">
        <f>L15-L12</f>
        <v>12294.219312000001</v>
      </c>
      <c r="M16" s="2">
        <f>M15-M12</f>
        <v>8094.2193120000011</v>
      </c>
      <c r="N16" s="2">
        <f>N15-N12</f>
        <v>3894.2193120000011</v>
      </c>
      <c r="O16" s="2">
        <f>O15-O12</f>
        <v>-4505.7806879999989</v>
      </c>
      <c r="P16" s="2">
        <f>P15-P12</f>
        <v>3894.2193120000011</v>
      </c>
      <c r="Q16" s="2">
        <f>Q15-Q12</f>
        <v>34920</v>
      </c>
      <c r="R16" s="2">
        <f>R15-R12</f>
        <v>28200</v>
      </c>
      <c r="S16" s="2">
        <f>S15-S12</f>
        <v>36600</v>
      </c>
      <c r="T16" s="2">
        <f>T15-T12</f>
        <v>45000</v>
      </c>
      <c r="U16" s="2">
        <f>U15-U12</f>
        <v>53400</v>
      </c>
      <c r="V16" s="2">
        <f>V15-V12</f>
        <v>61800</v>
      </c>
      <c r="W16" s="2">
        <f>W15-W12</f>
        <v>74400</v>
      </c>
      <c r="X16" s="2">
        <f>X15-X12</f>
        <v>87000</v>
      </c>
      <c r="Y16" s="2">
        <f>Y15-Y12</f>
        <v>82800</v>
      </c>
      <c r="Z16" s="2">
        <f>Z15-Z12</f>
        <v>95400</v>
      </c>
      <c r="AA16" s="2">
        <f>AA15-AA12</f>
        <v>91200</v>
      </c>
      <c r="AB16" s="2">
        <f>AB15-AB12</f>
        <v>103800</v>
      </c>
      <c r="AC16" s="2">
        <f>AC15-AC12</f>
        <v>99600</v>
      </c>
      <c r="AD16" s="2">
        <f>AD15-AD12</f>
        <v>108000</v>
      </c>
      <c r="AE16" s="2">
        <f>AE15-AE12</f>
        <v>106320</v>
      </c>
      <c r="AF16" s="2">
        <f>AF15-AF12</f>
        <v>104640</v>
      </c>
    </row>
    <row r="17" spans="1:32" x14ac:dyDescent="0.25">
      <c r="B17" s="2"/>
    </row>
    <row r="20" spans="1:32" x14ac:dyDescent="0.25">
      <c r="A20" t="s">
        <v>6</v>
      </c>
      <c r="B20" s="1">
        <f>NPV(3%,B16:AF16)</f>
        <v>815703.00164965005</v>
      </c>
      <c r="C20" s="1">
        <f>NPV(3%,C16:AF16)</f>
        <v>811079.87238713994</v>
      </c>
      <c r="D20" s="1">
        <f>NPV(3%,D16:AF16)</f>
        <v>806318.04924675403</v>
      </c>
      <c r="E20" s="1">
        <f>NPV(3%,E16:AF16)</f>
        <v>805613.37141215662</v>
      </c>
      <c r="F20" s="1">
        <f>NPV(3%,F16:AF16)</f>
        <v>809087.55324252148</v>
      </c>
      <c r="G20" s="1">
        <f>NPV(3%,G16:AF16)</f>
        <v>804265.96052779711</v>
      </c>
      <c r="H20" s="1">
        <f>NPV(3%,H16:AF16)</f>
        <v>807699.72003163095</v>
      </c>
      <c r="I20" s="1">
        <f>NPV(3%,I16:AF16)</f>
        <v>802836.49232057994</v>
      </c>
      <c r="J20" s="1">
        <f>NPV(3%,J16:AF16)</f>
        <v>806227.3677781974</v>
      </c>
      <c r="K20" s="1">
        <f>NPV(3%,K16:AF16)</f>
        <v>801319.96949954319</v>
      </c>
      <c r="L20" s="1">
        <f>NPV(3%,L16:AO16)</f>
        <v>804665.34927252971</v>
      </c>
      <c r="M20" s="1">
        <f>NPV(3%,M16:AP16)</f>
        <v>816511.09043870552</v>
      </c>
      <c r="N20" s="1">
        <f>NPV(3%,N16:AQ16)</f>
        <v>832912.20383986679</v>
      </c>
      <c r="O20" s="1">
        <f>NPV(3%,O16:AR16)</f>
        <v>854005.35064306285</v>
      </c>
      <c r="P20" s="1">
        <f>NPV(3%,P16:AS16)</f>
        <v>884131.29185035476</v>
      </c>
      <c r="Q20" s="1">
        <f>NPV(3%,Q16:AT16)</f>
        <v>906761.01129386527</v>
      </c>
      <c r="R20" s="1">
        <f>NPV(3%,R16:AU16)</f>
        <v>899043.84163268143</v>
      </c>
      <c r="S20" s="1">
        <f>NPV(3%,S16:AV16)</f>
        <v>897815.15688166197</v>
      </c>
      <c r="T20" s="1">
        <f>NPV(3%,T16:AW16)</f>
        <v>888149.61158811161</v>
      </c>
      <c r="U20" s="1">
        <f>NPV(3%,U16:AX16)</f>
        <v>869794.09993575513</v>
      </c>
      <c r="V20" s="1">
        <f>NPV(3%,V16:AY16)</f>
        <v>842487.92293382774</v>
      </c>
      <c r="W20" s="1">
        <f>NPV(3%,W16:AZ16)</f>
        <v>805962.56062184263</v>
      </c>
      <c r="X20" s="1">
        <f>NPV(3%,X16:BA16)</f>
        <v>755741.4374404978</v>
      </c>
      <c r="Y20" s="1">
        <f>NPV(3%,Y16:BB16)</f>
        <v>691413.68056371296</v>
      </c>
      <c r="Z20" s="1">
        <f>NPV(3%,Z16:BC16)</f>
        <v>629356.09098062431</v>
      </c>
      <c r="AA20" s="1">
        <f>NPV(3%,AA16:BD16)</f>
        <v>552836.77371004305</v>
      </c>
      <c r="AB20" s="1">
        <f>NPV(3%,AB16:BE16)</f>
        <v>478221.87692134432</v>
      </c>
      <c r="AC20" s="1">
        <f>NPV(3%,AC16:BF16)</f>
        <v>388768.53322898463</v>
      </c>
      <c r="AD20" s="1">
        <f>NPV(3%,AD16:BG16)</f>
        <v>300831.58922585426</v>
      </c>
      <c r="AE20" s="1">
        <f>NPV(3%,AE16:BH16)</f>
        <v>201856.53690262986</v>
      </c>
      <c r="AF20" s="1">
        <f>NPV(3%,AF16:BI16)</f>
        <v>101592.23300970874</v>
      </c>
    </row>
    <row r="21" spans="1:32" x14ac:dyDescent="0.25">
      <c r="B21" s="1"/>
    </row>
    <row r="27" spans="1:32" x14ac:dyDescent="0.25">
      <c r="J27" s="3"/>
    </row>
    <row r="28" spans="1:32" x14ac:dyDescent="0.25">
      <c r="J28" s="3"/>
    </row>
    <row r="29" spans="1:32" x14ac:dyDescent="0.25">
      <c r="J29" s="3"/>
    </row>
    <row r="30" spans="1:32" x14ac:dyDescent="0.25">
      <c r="J30" s="3"/>
    </row>
    <row r="31" spans="1:32" x14ac:dyDescent="0.25">
      <c r="J31" s="3"/>
    </row>
    <row r="32" spans="1:32" x14ac:dyDescent="0.25">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row r="45" spans="10:10" x14ac:dyDescent="0.25">
      <c r="J45" s="3"/>
    </row>
    <row r="46" spans="10:10" x14ac:dyDescent="0.25">
      <c r="J46" s="3"/>
    </row>
    <row r="47" spans="10:10" x14ac:dyDescent="0.25">
      <c r="J47" s="3"/>
    </row>
    <row r="48" spans="10:10" x14ac:dyDescent="0.25">
      <c r="J48" s="3"/>
    </row>
    <row r="49" spans="10:10" x14ac:dyDescent="0.25">
      <c r="J49" s="3"/>
    </row>
    <row r="50" spans="10:10" x14ac:dyDescent="0.25">
      <c r="J50" s="3"/>
    </row>
    <row r="51" spans="10:10" x14ac:dyDescent="0.25">
      <c r="J51" s="3"/>
    </row>
    <row r="52" spans="10:10" x14ac:dyDescent="0.25">
      <c r="J52" s="3"/>
    </row>
    <row r="53" spans="10:10" x14ac:dyDescent="0.25">
      <c r="J53" s="3"/>
    </row>
    <row r="54" spans="10:10" x14ac:dyDescent="0.25">
      <c r="J54" s="3"/>
    </row>
    <row r="55" spans="10:10" x14ac:dyDescent="0.25">
      <c r="J55" s="3"/>
    </row>
    <row r="56" spans="10:10" x14ac:dyDescent="0.25">
      <c r="J56" s="3"/>
    </row>
  </sheetData>
  <conditionalFormatting sqref="B8">
    <cfRule type="expression" dxfId="156" priority="1" stopIfTrue="1">
      <formula>RiskIsInput</formula>
    </cfRule>
  </conditionalFormatting>
  <conditionalFormatting sqref="C8">
    <cfRule type="expression" dxfId="155" priority="2" stopIfTrue="1">
      <formula>RiskIsInput</formula>
    </cfRule>
  </conditionalFormatting>
  <conditionalFormatting sqref="D8">
    <cfRule type="expression" dxfId="154" priority="3" stopIfTrue="1">
      <formula>RiskIsInput</formula>
    </cfRule>
  </conditionalFormatting>
  <conditionalFormatting sqref="E8">
    <cfRule type="expression" dxfId="153" priority="4" stopIfTrue="1">
      <formula>RiskIsInput</formula>
    </cfRule>
  </conditionalFormatting>
  <conditionalFormatting sqref="F8">
    <cfRule type="expression" dxfId="152" priority="5" stopIfTrue="1">
      <formula>RiskIsInput</formula>
    </cfRule>
  </conditionalFormatting>
  <conditionalFormatting sqref="G8">
    <cfRule type="expression" dxfId="151" priority="6" stopIfTrue="1">
      <formula>RiskIsInput</formula>
    </cfRule>
  </conditionalFormatting>
  <conditionalFormatting sqref="H8">
    <cfRule type="expression" dxfId="150" priority="7" stopIfTrue="1">
      <formula>RiskIsInput</formula>
    </cfRule>
  </conditionalFormatting>
  <conditionalFormatting sqref="I8">
    <cfRule type="expression" dxfId="149" priority="8" stopIfTrue="1">
      <formula>RiskIsInput</formula>
    </cfRule>
  </conditionalFormatting>
  <conditionalFormatting sqref="J8">
    <cfRule type="expression" dxfId="148" priority="9" stopIfTrue="1">
      <formula>RiskIsInput</formula>
    </cfRule>
  </conditionalFormatting>
  <conditionalFormatting sqref="K8">
    <cfRule type="expression" dxfId="147" priority="10" stopIfTrue="1">
      <formula>RiskIsInput</formula>
    </cfRule>
  </conditionalFormatting>
  <conditionalFormatting sqref="L8">
    <cfRule type="expression" dxfId="146" priority="11" stopIfTrue="1">
      <formula>RiskIsInput</formula>
    </cfRule>
  </conditionalFormatting>
  <conditionalFormatting sqref="M8">
    <cfRule type="expression" dxfId="145" priority="12" stopIfTrue="1">
      <formula>RiskIsInput</formula>
    </cfRule>
  </conditionalFormatting>
  <conditionalFormatting sqref="N8">
    <cfRule type="expression" dxfId="144" priority="13" stopIfTrue="1">
      <formula>RiskIsInput</formula>
    </cfRule>
  </conditionalFormatting>
  <conditionalFormatting sqref="O8">
    <cfRule type="expression" dxfId="143" priority="14" stopIfTrue="1">
      <formula>RiskIsInput</formula>
    </cfRule>
  </conditionalFormatting>
  <conditionalFormatting sqref="P8">
    <cfRule type="expression" dxfId="142" priority="15" stopIfTrue="1">
      <formula>RiskIsInput</formula>
    </cfRule>
  </conditionalFormatting>
  <conditionalFormatting sqref="Q8">
    <cfRule type="expression" dxfId="141" priority="16" stopIfTrue="1">
      <formula>RiskIsInput</formula>
    </cfRule>
  </conditionalFormatting>
  <conditionalFormatting sqref="R8">
    <cfRule type="expression" dxfId="140" priority="17" stopIfTrue="1">
      <formula>RiskIsInput</formula>
    </cfRule>
  </conditionalFormatting>
  <conditionalFormatting sqref="S8">
    <cfRule type="expression" dxfId="139" priority="18" stopIfTrue="1">
      <formula>RiskIsInput</formula>
    </cfRule>
  </conditionalFormatting>
  <conditionalFormatting sqref="T8">
    <cfRule type="expression" dxfId="138" priority="19" stopIfTrue="1">
      <formula>RiskIsInput</formula>
    </cfRule>
  </conditionalFormatting>
  <conditionalFormatting sqref="U8">
    <cfRule type="expression" dxfId="137" priority="20" stopIfTrue="1">
      <formula>RiskIsInput</formula>
    </cfRule>
  </conditionalFormatting>
  <conditionalFormatting sqref="V8">
    <cfRule type="expression" dxfId="136" priority="21" stopIfTrue="1">
      <formula>RiskIsInput</formula>
    </cfRule>
  </conditionalFormatting>
  <conditionalFormatting sqref="W8">
    <cfRule type="expression" dxfId="135" priority="22" stopIfTrue="1">
      <formula>RiskIsInput</formula>
    </cfRule>
  </conditionalFormatting>
  <conditionalFormatting sqref="X8">
    <cfRule type="expression" dxfId="134" priority="23" stopIfTrue="1">
      <formula>RiskIsInput</formula>
    </cfRule>
  </conditionalFormatting>
  <conditionalFormatting sqref="Y8">
    <cfRule type="expression" dxfId="133" priority="24" stopIfTrue="1">
      <formula>RiskIsInput</formula>
    </cfRule>
  </conditionalFormatting>
  <conditionalFormatting sqref="Z8">
    <cfRule type="expression" dxfId="132" priority="25" stopIfTrue="1">
      <formula>RiskIsInput</formula>
    </cfRule>
  </conditionalFormatting>
  <conditionalFormatting sqref="AA8">
    <cfRule type="expression" dxfId="131" priority="26" stopIfTrue="1">
      <formula>RiskIsInput</formula>
    </cfRule>
  </conditionalFormatting>
  <conditionalFormatting sqref="AB8">
    <cfRule type="expression" dxfId="130" priority="27" stopIfTrue="1">
      <formula>RiskIsInput</formula>
    </cfRule>
  </conditionalFormatting>
  <conditionalFormatting sqref="AC8">
    <cfRule type="expression" dxfId="129" priority="28" stopIfTrue="1">
      <formula>RiskIsInput</formula>
    </cfRule>
  </conditionalFormatting>
  <conditionalFormatting sqref="AD8">
    <cfRule type="expression" dxfId="128" priority="29" stopIfTrue="1">
      <formula>RiskIsInput</formula>
    </cfRule>
  </conditionalFormatting>
  <conditionalFormatting sqref="AE8">
    <cfRule type="expression" dxfId="127" priority="30" stopIfTrue="1">
      <formula>RiskIsInput</formula>
    </cfRule>
  </conditionalFormatting>
  <conditionalFormatting sqref="AF8">
    <cfRule type="expression" dxfId="126" priority="31" stopIfTrue="1">
      <formula>RiskIsInput</formula>
    </cfRule>
  </conditionalFormatting>
  <conditionalFormatting sqref="B11">
    <cfRule type="expression" dxfId="125" priority="32" stopIfTrue="1">
      <formula>RiskIsOutput</formula>
    </cfRule>
  </conditionalFormatting>
  <conditionalFormatting sqref="C11">
    <cfRule type="expression" dxfId="124" priority="33" stopIfTrue="1">
      <formula>RiskIsOutput</formula>
    </cfRule>
  </conditionalFormatting>
  <conditionalFormatting sqref="D11">
    <cfRule type="expression" dxfId="123" priority="34" stopIfTrue="1">
      <formula>RiskIsOutput</formula>
    </cfRule>
  </conditionalFormatting>
  <conditionalFormatting sqref="E11">
    <cfRule type="expression" dxfId="122" priority="35" stopIfTrue="1">
      <formula>RiskIsOutput</formula>
    </cfRule>
  </conditionalFormatting>
  <conditionalFormatting sqref="F11">
    <cfRule type="expression" dxfId="121" priority="36" stopIfTrue="1">
      <formula>RiskIsOutput</formula>
    </cfRule>
  </conditionalFormatting>
  <conditionalFormatting sqref="G11">
    <cfRule type="expression" dxfId="120" priority="37" stopIfTrue="1">
      <formula>RiskIsOutput</formula>
    </cfRule>
  </conditionalFormatting>
  <conditionalFormatting sqref="H11">
    <cfRule type="expression" dxfId="119" priority="38" stopIfTrue="1">
      <formula>RiskIsOutput</formula>
    </cfRule>
  </conditionalFormatting>
  <conditionalFormatting sqref="I11">
    <cfRule type="expression" dxfId="118" priority="39" stopIfTrue="1">
      <formula>RiskIsOutput</formula>
    </cfRule>
  </conditionalFormatting>
  <conditionalFormatting sqref="J11">
    <cfRule type="expression" dxfId="117" priority="40" stopIfTrue="1">
      <formula>RiskIsOutput</formula>
    </cfRule>
  </conditionalFormatting>
  <conditionalFormatting sqref="K11">
    <cfRule type="expression" dxfId="116" priority="41" stopIfTrue="1">
      <formula>RiskIsOutput</formula>
    </cfRule>
  </conditionalFormatting>
  <conditionalFormatting sqref="L11">
    <cfRule type="expression" dxfId="115" priority="42" stopIfTrue="1">
      <formula>RiskIsOutput</formula>
    </cfRule>
  </conditionalFormatting>
  <conditionalFormatting sqref="M11">
    <cfRule type="expression" dxfId="114" priority="43" stopIfTrue="1">
      <formula>RiskIsOutput</formula>
    </cfRule>
  </conditionalFormatting>
  <conditionalFormatting sqref="N11">
    <cfRule type="expression" dxfId="113" priority="44" stopIfTrue="1">
      <formula>RiskIsOutput</formula>
    </cfRule>
  </conditionalFormatting>
  <conditionalFormatting sqref="O11">
    <cfRule type="expression" dxfId="112" priority="45" stopIfTrue="1">
      <formula>RiskIsOutput</formula>
    </cfRule>
  </conditionalFormatting>
  <conditionalFormatting sqref="P11">
    <cfRule type="expression" dxfId="111" priority="46" stopIfTrue="1">
      <formula>RiskIsOutput</formula>
    </cfRule>
  </conditionalFormatting>
  <conditionalFormatting sqref="Q11">
    <cfRule type="expression" dxfId="110" priority="47" stopIfTrue="1">
      <formula>RiskIsOutput</formula>
    </cfRule>
  </conditionalFormatting>
  <conditionalFormatting sqref="R11">
    <cfRule type="expression" dxfId="109" priority="48" stopIfTrue="1">
      <formula>RiskIsOutput</formula>
    </cfRule>
  </conditionalFormatting>
  <conditionalFormatting sqref="S11">
    <cfRule type="expression" dxfId="108" priority="49" stopIfTrue="1">
      <formula>RiskIsOutput</formula>
    </cfRule>
  </conditionalFormatting>
  <conditionalFormatting sqref="T11">
    <cfRule type="expression" dxfId="107" priority="50" stopIfTrue="1">
      <formula>RiskIsOutput</formula>
    </cfRule>
  </conditionalFormatting>
  <conditionalFormatting sqref="U11">
    <cfRule type="expression" dxfId="106" priority="51" stopIfTrue="1">
      <formula>RiskIsOutput</formula>
    </cfRule>
  </conditionalFormatting>
  <conditionalFormatting sqref="V11">
    <cfRule type="expression" dxfId="105" priority="52" stopIfTrue="1">
      <formula>RiskIsOutput</formula>
    </cfRule>
  </conditionalFormatting>
  <conditionalFormatting sqref="W11">
    <cfRule type="expression" dxfId="104" priority="53" stopIfTrue="1">
      <formula>RiskIsOutput</formula>
    </cfRule>
  </conditionalFormatting>
  <conditionalFormatting sqref="X11">
    <cfRule type="expression" dxfId="103" priority="54" stopIfTrue="1">
      <formula>RiskIsOutput</formula>
    </cfRule>
  </conditionalFormatting>
  <conditionalFormatting sqref="Y11">
    <cfRule type="expression" dxfId="102" priority="55" stopIfTrue="1">
      <formula>RiskIsOutput</formula>
    </cfRule>
  </conditionalFormatting>
  <conditionalFormatting sqref="Z11">
    <cfRule type="expression" dxfId="101" priority="56" stopIfTrue="1">
      <formula>RiskIsOutput</formula>
    </cfRule>
  </conditionalFormatting>
  <conditionalFormatting sqref="AA11">
    <cfRule type="expression" dxfId="100" priority="57" stopIfTrue="1">
      <formula>RiskIsOutput</formula>
    </cfRule>
  </conditionalFormatting>
  <conditionalFormatting sqref="AB11">
    <cfRule type="expression" dxfId="99" priority="58" stopIfTrue="1">
      <formula>RiskIsOutput</formula>
    </cfRule>
  </conditionalFormatting>
  <conditionalFormatting sqref="AC11">
    <cfRule type="expression" dxfId="98" priority="59" stopIfTrue="1">
      <formula>RiskIsOutput</formula>
    </cfRule>
  </conditionalFormatting>
  <conditionalFormatting sqref="AD11">
    <cfRule type="expression" dxfId="97" priority="60" stopIfTrue="1">
      <formula>RiskIsOutput</formula>
    </cfRule>
  </conditionalFormatting>
  <conditionalFormatting sqref="AE11">
    <cfRule type="expression" dxfId="96" priority="61" stopIfTrue="1">
      <formula>RiskIsOutput</formula>
    </cfRule>
  </conditionalFormatting>
  <conditionalFormatting sqref="AF11">
    <cfRule type="expression" dxfId="95" priority="62" stopIfTrue="1">
      <formula>RiskIsOutput</formula>
    </cfRule>
  </conditionalFormatting>
  <conditionalFormatting sqref="B15">
    <cfRule type="expression" dxfId="94" priority="63" stopIfTrue="1">
      <formula>RiskIsOutput</formula>
    </cfRule>
  </conditionalFormatting>
  <conditionalFormatting sqref="C15">
    <cfRule type="expression" dxfId="93" priority="64" stopIfTrue="1">
      <formula>RiskIsOutput</formula>
    </cfRule>
  </conditionalFormatting>
  <conditionalFormatting sqref="D15">
    <cfRule type="expression" dxfId="92" priority="65" stopIfTrue="1">
      <formula>RiskIsOutput</formula>
    </cfRule>
  </conditionalFormatting>
  <conditionalFormatting sqref="E15">
    <cfRule type="expression" dxfId="91" priority="66" stopIfTrue="1">
      <formula>RiskIsOutput</formula>
    </cfRule>
  </conditionalFormatting>
  <conditionalFormatting sqref="F15">
    <cfRule type="expression" dxfId="90" priority="67" stopIfTrue="1">
      <formula>RiskIsOutput</formula>
    </cfRule>
  </conditionalFormatting>
  <conditionalFormatting sqref="G15">
    <cfRule type="expression" dxfId="89" priority="68" stopIfTrue="1">
      <formula>RiskIsOutput</formula>
    </cfRule>
  </conditionalFormatting>
  <conditionalFormatting sqref="H15">
    <cfRule type="expression" dxfId="88" priority="69" stopIfTrue="1">
      <formula>RiskIsOutput</formula>
    </cfRule>
  </conditionalFormatting>
  <conditionalFormatting sqref="I15">
    <cfRule type="expression" dxfId="87" priority="70" stopIfTrue="1">
      <formula>RiskIsOutput</formula>
    </cfRule>
  </conditionalFormatting>
  <conditionalFormatting sqref="J15">
    <cfRule type="expression" dxfId="86" priority="71" stopIfTrue="1">
      <formula>RiskIsOutput</formula>
    </cfRule>
  </conditionalFormatting>
  <conditionalFormatting sqref="K15">
    <cfRule type="expression" dxfId="85" priority="72" stopIfTrue="1">
      <formula>RiskIsOutput</formula>
    </cfRule>
  </conditionalFormatting>
  <conditionalFormatting sqref="L15">
    <cfRule type="expression" dxfId="84" priority="73" stopIfTrue="1">
      <formula>RiskIsOutput</formula>
    </cfRule>
  </conditionalFormatting>
  <conditionalFormatting sqref="M15">
    <cfRule type="expression" dxfId="83" priority="74" stopIfTrue="1">
      <formula>RiskIsOutput</formula>
    </cfRule>
  </conditionalFormatting>
  <conditionalFormatting sqref="N15">
    <cfRule type="expression" dxfId="82" priority="75" stopIfTrue="1">
      <formula>RiskIsOutput</formula>
    </cfRule>
  </conditionalFormatting>
  <conditionalFormatting sqref="O15">
    <cfRule type="expression" dxfId="81" priority="76" stopIfTrue="1">
      <formula>RiskIsOutput</formula>
    </cfRule>
  </conditionalFormatting>
  <conditionalFormatting sqref="P15">
    <cfRule type="expression" dxfId="80" priority="77" stopIfTrue="1">
      <formula>RiskIsOutput</formula>
    </cfRule>
  </conditionalFormatting>
  <conditionalFormatting sqref="Q15">
    <cfRule type="expression" dxfId="79" priority="78" stopIfTrue="1">
      <formula>RiskIsOutput</formula>
    </cfRule>
  </conditionalFormatting>
  <conditionalFormatting sqref="R15">
    <cfRule type="expression" dxfId="78" priority="79" stopIfTrue="1">
      <formula>RiskIsOutput</formula>
    </cfRule>
  </conditionalFormatting>
  <conditionalFormatting sqref="S15">
    <cfRule type="expression" dxfId="77" priority="80" stopIfTrue="1">
      <formula>RiskIsOutput</formula>
    </cfRule>
  </conditionalFormatting>
  <conditionalFormatting sqref="T15">
    <cfRule type="expression" dxfId="76" priority="81" stopIfTrue="1">
      <formula>RiskIsOutput</formula>
    </cfRule>
  </conditionalFormatting>
  <conditionalFormatting sqref="U15">
    <cfRule type="expression" dxfId="75" priority="82" stopIfTrue="1">
      <formula>RiskIsOutput</formula>
    </cfRule>
  </conditionalFormatting>
  <conditionalFormatting sqref="V15">
    <cfRule type="expression" dxfId="74" priority="83" stopIfTrue="1">
      <formula>RiskIsOutput</formula>
    </cfRule>
  </conditionalFormatting>
  <conditionalFormatting sqref="W15">
    <cfRule type="expression" dxfId="73" priority="84" stopIfTrue="1">
      <formula>RiskIsOutput</formula>
    </cfRule>
  </conditionalFormatting>
  <conditionalFormatting sqref="X15">
    <cfRule type="expression" dxfId="72" priority="85" stopIfTrue="1">
      <formula>RiskIsOutput</formula>
    </cfRule>
  </conditionalFormatting>
  <conditionalFormatting sqref="Y15">
    <cfRule type="expression" dxfId="71" priority="86" stopIfTrue="1">
      <formula>RiskIsOutput</formula>
    </cfRule>
  </conditionalFormatting>
  <conditionalFormatting sqref="Z15">
    <cfRule type="expression" dxfId="70" priority="87" stopIfTrue="1">
      <formula>RiskIsOutput</formula>
    </cfRule>
  </conditionalFormatting>
  <conditionalFormatting sqref="AA15">
    <cfRule type="expression" dxfId="69" priority="88" stopIfTrue="1">
      <formula>RiskIsOutput</formula>
    </cfRule>
  </conditionalFormatting>
  <conditionalFormatting sqref="AB15">
    <cfRule type="expression" dxfId="68" priority="89" stopIfTrue="1">
      <formula>RiskIsOutput</formula>
    </cfRule>
  </conditionalFormatting>
  <conditionalFormatting sqref="AC15">
    <cfRule type="expression" dxfId="67" priority="90" stopIfTrue="1">
      <formula>RiskIsOutput</formula>
    </cfRule>
  </conditionalFormatting>
  <conditionalFormatting sqref="AD15">
    <cfRule type="expression" dxfId="66" priority="91" stopIfTrue="1">
      <formula>RiskIsOutput</formula>
    </cfRule>
  </conditionalFormatting>
  <conditionalFormatting sqref="AE15">
    <cfRule type="expression" dxfId="65" priority="92" stopIfTrue="1">
      <formula>RiskIsOutput</formula>
    </cfRule>
  </conditionalFormatting>
  <conditionalFormatting sqref="AF15">
    <cfRule type="expression" dxfId="64" priority="93" stopIfTrue="1">
      <formula>RiskIsOutput</formula>
    </cfRule>
  </conditionalFormatting>
  <conditionalFormatting sqref="B16">
    <cfRule type="expression" dxfId="63" priority="94" stopIfTrue="1">
      <formula>RiskIsOutput</formula>
    </cfRule>
  </conditionalFormatting>
  <conditionalFormatting sqref="C16">
    <cfRule type="expression" dxfId="62" priority="95" stopIfTrue="1">
      <formula>RiskIsOutput</formula>
    </cfRule>
  </conditionalFormatting>
  <conditionalFormatting sqref="D16">
    <cfRule type="expression" dxfId="61" priority="96" stopIfTrue="1">
      <formula>RiskIsOutput</formula>
    </cfRule>
  </conditionalFormatting>
  <conditionalFormatting sqref="E16">
    <cfRule type="expression" dxfId="60" priority="97" stopIfTrue="1">
      <formula>RiskIsOutput</formula>
    </cfRule>
  </conditionalFormatting>
  <conditionalFormatting sqref="F16">
    <cfRule type="expression" dxfId="59" priority="98" stopIfTrue="1">
      <formula>RiskIsOutput</formula>
    </cfRule>
  </conditionalFormatting>
  <conditionalFormatting sqref="G16">
    <cfRule type="expression" dxfId="58" priority="99" stopIfTrue="1">
      <formula>RiskIsOutput</formula>
    </cfRule>
  </conditionalFormatting>
  <conditionalFormatting sqref="H16">
    <cfRule type="expression" dxfId="57" priority="100" stopIfTrue="1">
      <formula>RiskIsOutput</formula>
    </cfRule>
  </conditionalFormatting>
  <conditionalFormatting sqref="I16">
    <cfRule type="expression" dxfId="56" priority="101" stopIfTrue="1">
      <formula>RiskIsOutput</formula>
    </cfRule>
  </conditionalFormatting>
  <conditionalFormatting sqref="J16">
    <cfRule type="expression" dxfId="55" priority="102" stopIfTrue="1">
      <formula>RiskIsOutput</formula>
    </cfRule>
  </conditionalFormatting>
  <conditionalFormatting sqref="K16">
    <cfRule type="expression" dxfId="54" priority="103" stopIfTrue="1">
      <formula>RiskIsOutput</formula>
    </cfRule>
  </conditionalFormatting>
  <conditionalFormatting sqref="L16">
    <cfRule type="expression" dxfId="53" priority="104" stopIfTrue="1">
      <formula>RiskIsOutput</formula>
    </cfRule>
  </conditionalFormatting>
  <conditionalFormatting sqref="M16">
    <cfRule type="expression" dxfId="52" priority="105" stopIfTrue="1">
      <formula>RiskIsOutput</formula>
    </cfRule>
  </conditionalFormatting>
  <conditionalFormatting sqref="N16">
    <cfRule type="expression" dxfId="51" priority="106" stopIfTrue="1">
      <formula>RiskIsOutput</formula>
    </cfRule>
  </conditionalFormatting>
  <conditionalFormatting sqref="O16">
    <cfRule type="expression" dxfId="50" priority="107" stopIfTrue="1">
      <formula>RiskIsOutput</formula>
    </cfRule>
  </conditionalFormatting>
  <conditionalFormatting sqref="P16">
    <cfRule type="expression" dxfId="49" priority="108" stopIfTrue="1">
      <formula>RiskIsOutput</formula>
    </cfRule>
  </conditionalFormatting>
  <conditionalFormatting sqref="Q16">
    <cfRule type="expression" dxfId="48" priority="109" stopIfTrue="1">
      <formula>RiskIsOutput</formula>
    </cfRule>
  </conditionalFormatting>
  <conditionalFormatting sqref="R16">
    <cfRule type="expression" dxfId="47" priority="110" stopIfTrue="1">
      <formula>RiskIsOutput</formula>
    </cfRule>
  </conditionalFormatting>
  <conditionalFormatting sqref="S16">
    <cfRule type="expression" dxfId="46" priority="111" stopIfTrue="1">
      <formula>RiskIsOutput</formula>
    </cfRule>
  </conditionalFormatting>
  <conditionalFormatting sqref="T16">
    <cfRule type="expression" dxfId="45" priority="112" stopIfTrue="1">
      <formula>RiskIsOutput</formula>
    </cfRule>
  </conditionalFormatting>
  <conditionalFormatting sqref="U16">
    <cfRule type="expression" dxfId="44" priority="113" stopIfTrue="1">
      <formula>RiskIsOutput</formula>
    </cfRule>
  </conditionalFormatting>
  <conditionalFormatting sqref="V16">
    <cfRule type="expression" dxfId="43" priority="114" stopIfTrue="1">
      <formula>RiskIsOutput</formula>
    </cfRule>
  </conditionalFormatting>
  <conditionalFormatting sqref="W16">
    <cfRule type="expression" dxfId="42" priority="115" stopIfTrue="1">
      <formula>RiskIsOutput</formula>
    </cfRule>
  </conditionalFormatting>
  <conditionalFormatting sqref="X16">
    <cfRule type="expression" dxfId="41" priority="116" stopIfTrue="1">
      <formula>RiskIsOutput</formula>
    </cfRule>
  </conditionalFormatting>
  <conditionalFormatting sqref="Y16">
    <cfRule type="expression" dxfId="40" priority="117" stopIfTrue="1">
      <formula>RiskIsOutput</formula>
    </cfRule>
  </conditionalFormatting>
  <conditionalFormatting sqref="Z16">
    <cfRule type="expression" dxfId="39" priority="118" stopIfTrue="1">
      <formula>RiskIsOutput</formula>
    </cfRule>
  </conditionalFormatting>
  <conditionalFormatting sqref="AA16">
    <cfRule type="expression" dxfId="38" priority="119" stopIfTrue="1">
      <formula>RiskIsOutput</formula>
    </cfRule>
  </conditionalFormatting>
  <conditionalFormatting sqref="AB16">
    <cfRule type="expression" dxfId="37" priority="120" stopIfTrue="1">
      <formula>RiskIsOutput</formula>
    </cfRule>
  </conditionalFormatting>
  <conditionalFormatting sqref="AC16">
    <cfRule type="expression" dxfId="36" priority="121" stopIfTrue="1">
      <formula>RiskIsOutput</formula>
    </cfRule>
  </conditionalFormatting>
  <conditionalFormatting sqref="AD16">
    <cfRule type="expression" dxfId="35" priority="122" stopIfTrue="1">
      <formula>RiskIsOutput</formula>
    </cfRule>
  </conditionalFormatting>
  <conditionalFormatting sqref="AE16">
    <cfRule type="expression" dxfId="34" priority="123" stopIfTrue="1">
      <formula>RiskIsOutput</formula>
    </cfRule>
  </conditionalFormatting>
  <conditionalFormatting sqref="AF16">
    <cfRule type="expression" dxfId="33" priority="124" stopIfTrue="1">
      <formula>RiskIsOutput</formula>
    </cfRule>
  </conditionalFormatting>
  <conditionalFormatting sqref="B20">
    <cfRule type="expression" dxfId="32" priority="125" stopIfTrue="1">
      <formula>RiskIsOutput</formula>
    </cfRule>
  </conditionalFormatting>
  <conditionalFormatting sqref="C20">
    <cfRule type="expression" dxfId="31" priority="126" stopIfTrue="1">
      <formula>RiskIsOutput</formula>
    </cfRule>
  </conditionalFormatting>
  <conditionalFormatting sqref="D20">
    <cfRule type="expression" dxfId="30" priority="127" stopIfTrue="1">
      <formula>RiskIsOutput</formula>
    </cfRule>
  </conditionalFormatting>
  <conditionalFormatting sqref="E20">
    <cfRule type="expression" dxfId="29" priority="128" stopIfTrue="1">
      <formula>RiskIsOutput</formula>
    </cfRule>
  </conditionalFormatting>
  <conditionalFormatting sqref="F20">
    <cfRule type="expression" dxfId="28" priority="129" stopIfTrue="1">
      <formula>RiskIsOutput</formula>
    </cfRule>
  </conditionalFormatting>
  <conditionalFormatting sqref="G20">
    <cfRule type="expression" dxfId="27" priority="130" stopIfTrue="1">
      <formula>RiskIsOutput</formula>
    </cfRule>
  </conditionalFormatting>
  <conditionalFormatting sqref="H20">
    <cfRule type="expression" dxfId="26" priority="131" stopIfTrue="1">
      <formula>RiskIsOutput</formula>
    </cfRule>
  </conditionalFormatting>
  <conditionalFormatting sqref="I20">
    <cfRule type="expression" dxfId="25" priority="132" stopIfTrue="1">
      <formula>RiskIsOutput</formula>
    </cfRule>
  </conditionalFormatting>
  <conditionalFormatting sqref="J20">
    <cfRule type="expression" dxfId="24" priority="133" stopIfTrue="1">
      <formula>RiskIsOutput</formula>
    </cfRule>
  </conditionalFormatting>
  <conditionalFormatting sqref="K20">
    <cfRule type="expression" dxfId="23" priority="134" stopIfTrue="1">
      <formula>RiskIsOutput</formula>
    </cfRule>
  </conditionalFormatting>
  <conditionalFormatting sqref="L20">
    <cfRule type="expression" dxfId="22" priority="135" stopIfTrue="1">
      <formula>RiskIsOutput</formula>
    </cfRule>
  </conditionalFormatting>
  <conditionalFormatting sqref="M20">
    <cfRule type="expression" dxfId="21" priority="136" stopIfTrue="1">
      <formula>RiskIsOutput</formula>
    </cfRule>
  </conditionalFormatting>
  <conditionalFormatting sqref="N20">
    <cfRule type="expression" dxfId="20" priority="137" stopIfTrue="1">
      <formula>RiskIsOutput</formula>
    </cfRule>
  </conditionalFormatting>
  <conditionalFormatting sqref="O20">
    <cfRule type="expression" dxfId="19" priority="138" stopIfTrue="1">
      <formula>RiskIsOutput</formula>
    </cfRule>
  </conditionalFormatting>
  <conditionalFormatting sqref="P20">
    <cfRule type="expression" dxfId="18" priority="139" stopIfTrue="1">
      <formula>RiskIsOutput</formula>
    </cfRule>
  </conditionalFormatting>
  <conditionalFormatting sqref="Q20">
    <cfRule type="expression" dxfId="17" priority="140" stopIfTrue="1">
      <formula>RiskIsOutput</formula>
    </cfRule>
  </conditionalFormatting>
  <conditionalFormatting sqref="R20">
    <cfRule type="expression" dxfId="16" priority="141" stopIfTrue="1">
      <formula>RiskIsOutput</formula>
    </cfRule>
  </conditionalFormatting>
  <conditionalFormatting sqref="S20">
    <cfRule type="expression" dxfId="15" priority="142" stopIfTrue="1">
      <formula>RiskIsOutput</formula>
    </cfRule>
  </conditionalFormatting>
  <conditionalFormatting sqref="T20">
    <cfRule type="expression" dxfId="14" priority="143" stopIfTrue="1">
      <formula>RiskIsOutput</formula>
    </cfRule>
  </conditionalFormatting>
  <conditionalFormatting sqref="U20">
    <cfRule type="expression" dxfId="13" priority="144" stopIfTrue="1">
      <formula>RiskIsOutput</formula>
    </cfRule>
  </conditionalFormatting>
  <conditionalFormatting sqref="V20">
    <cfRule type="expression" dxfId="12" priority="145" stopIfTrue="1">
      <formula>RiskIsOutput</formula>
    </cfRule>
  </conditionalFormatting>
  <conditionalFormatting sqref="W20">
    <cfRule type="expression" dxfId="11" priority="146" stopIfTrue="1">
      <formula>RiskIsOutput</formula>
    </cfRule>
  </conditionalFormatting>
  <conditionalFormatting sqref="X20">
    <cfRule type="expression" dxfId="10" priority="147" stopIfTrue="1">
      <formula>RiskIsOutput</formula>
    </cfRule>
  </conditionalFormatting>
  <conditionalFormatting sqref="Y20">
    <cfRule type="expression" dxfId="9" priority="148" stopIfTrue="1">
      <formula>RiskIsOutput</formula>
    </cfRule>
  </conditionalFormatting>
  <conditionalFormatting sqref="Z20">
    <cfRule type="expression" dxfId="8" priority="149" stopIfTrue="1">
      <formula>RiskIsOutput</formula>
    </cfRule>
  </conditionalFormatting>
  <conditionalFormatting sqref="AA20">
    <cfRule type="expression" dxfId="7" priority="150" stopIfTrue="1">
      <formula>RiskIsOutput</formula>
    </cfRule>
  </conditionalFormatting>
  <conditionalFormatting sqref="AB20">
    <cfRule type="expression" dxfId="6" priority="151" stopIfTrue="1">
      <formula>RiskIsOutput</formula>
    </cfRule>
  </conditionalFormatting>
  <conditionalFormatting sqref="AC20">
    <cfRule type="expression" dxfId="5" priority="152" stopIfTrue="1">
      <formula>RiskIsOutput</formula>
    </cfRule>
  </conditionalFormatting>
  <conditionalFormatting sqref="AD20">
    <cfRule type="expression" dxfId="4" priority="153" stopIfTrue="1">
      <formula>RiskIsOutput</formula>
    </cfRule>
  </conditionalFormatting>
  <conditionalFormatting sqref="AE20">
    <cfRule type="expression" dxfId="3" priority="154" stopIfTrue="1">
      <formula>RiskIsOutput</formula>
    </cfRule>
  </conditionalFormatting>
  <conditionalFormatting sqref="AF20">
    <cfRule type="expression" dxfId="2" priority="155" stopIfTrue="1">
      <formula>RiskIsOutput</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zoomScale="80" zoomScaleNormal="80" workbookViewId="0">
      <selection activeCell="I34" sqref="I34"/>
    </sheetView>
  </sheetViews>
  <sheetFormatPr defaultRowHeight="15" x14ac:dyDescent="0.25"/>
  <cols>
    <col min="2" max="2" width="12.28515625" bestFit="1" customWidth="1"/>
    <col min="3" max="4" width="11.5703125" bestFit="1" customWidth="1"/>
    <col min="14" max="14" width="15" bestFit="1" customWidth="1"/>
    <col min="22" max="22" width="12" bestFit="1" customWidth="1"/>
    <col min="23" max="23" width="12.140625" bestFit="1" customWidth="1"/>
    <col min="26" max="26" width="12" bestFit="1" customWidth="1"/>
  </cols>
  <sheetData>
    <row r="1" spans="1:25" ht="60" x14ac:dyDescent="0.25">
      <c r="A1" s="120" t="s">
        <v>93</v>
      </c>
      <c r="B1" s="26" t="s">
        <v>13</v>
      </c>
      <c r="C1" s="26" t="s">
        <v>11</v>
      </c>
      <c r="D1" s="26" t="s">
        <v>117</v>
      </c>
      <c r="E1" s="26" t="s">
        <v>118</v>
      </c>
      <c r="F1" s="26"/>
      <c r="G1" s="26"/>
      <c r="H1" s="26"/>
      <c r="I1" s="26"/>
      <c r="J1" s="26"/>
      <c r="K1" s="26"/>
      <c r="L1" s="26"/>
      <c r="M1" s="26"/>
      <c r="O1" s="120" t="s">
        <v>94</v>
      </c>
      <c r="P1" s="26" t="s">
        <v>13</v>
      </c>
      <c r="Q1" s="26" t="s">
        <v>11</v>
      </c>
      <c r="R1" s="26" t="s">
        <v>14</v>
      </c>
      <c r="T1" s="120" t="s">
        <v>162</v>
      </c>
    </row>
    <row r="2" spans="1:25" x14ac:dyDescent="0.25">
      <c r="A2">
        <v>1995</v>
      </c>
      <c r="B2" s="21">
        <v>840989.68973188393</v>
      </c>
      <c r="C2" s="21">
        <v>608234.78805349965</v>
      </c>
      <c r="D2" s="7">
        <v>815703.00183632702</v>
      </c>
      <c r="E2" s="8">
        <v>445330.9321079076</v>
      </c>
      <c r="O2">
        <v>1995</v>
      </c>
      <c r="P2" s="8">
        <v>1316245.0546439635</v>
      </c>
      <c r="Q2" s="8">
        <v>855202.56439349137</v>
      </c>
      <c r="R2" s="8">
        <v>922673.35029242525</v>
      </c>
      <c r="S2" s="8"/>
      <c r="U2" s="10" t="s">
        <v>15</v>
      </c>
      <c r="V2" s="10" t="s">
        <v>16</v>
      </c>
    </row>
    <row r="3" spans="1:25" x14ac:dyDescent="0.25">
      <c r="A3">
        <v>1996</v>
      </c>
      <c r="B3" s="21">
        <v>804067.3804238406</v>
      </c>
      <c r="C3" s="21">
        <v>585965.83169510472</v>
      </c>
      <c r="D3" s="7">
        <v>811079.8725637797</v>
      </c>
      <c r="E3" s="8">
        <v>429596.6407435076</v>
      </c>
      <c r="O3">
        <v>1996</v>
      </c>
      <c r="P3" s="8">
        <v>1293580.4062832822</v>
      </c>
      <c r="Q3" s="8">
        <v>840342.64132529602</v>
      </c>
      <c r="R3" s="8">
        <v>921259.331473561</v>
      </c>
      <c r="S3" s="8"/>
      <c r="U3" s="10" t="s">
        <v>18</v>
      </c>
      <c r="V3" s="10" t="s">
        <v>17</v>
      </c>
    </row>
    <row r="4" spans="1:25" x14ac:dyDescent="0.25">
      <c r="A4">
        <v>1997</v>
      </c>
      <c r="B4" s="21">
        <v>766037.4018365558</v>
      </c>
      <c r="C4" s="21">
        <v>563028.80664595764</v>
      </c>
      <c r="D4" s="7">
        <v>806318.049413056</v>
      </c>
      <c r="E4" s="8">
        <v>413390.32063817541</v>
      </c>
      <c r="O4">
        <v>1997</v>
      </c>
      <c r="P4" s="8">
        <v>1287795.818471781</v>
      </c>
      <c r="Q4" s="8">
        <v>825036.92056505487</v>
      </c>
      <c r="R4" s="8">
        <v>919802.89209013036</v>
      </c>
      <c r="S4" s="8"/>
      <c r="T4" s="11" t="s">
        <v>13</v>
      </c>
      <c r="U4" s="8">
        <v>1316245.0546439635</v>
      </c>
      <c r="V4" s="8">
        <v>840989.68973188393</v>
      </c>
    </row>
    <row r="5" spans="1:25" x14ac:dyDescent="0.25">
      <c r="A5">
        <v>1998</v>
      </c>
      <c r="B5" s="21">
        <v>731256.52389165259</v>
      </c>
      <c r="C5" s="21">
        <v>541598.6708453364</v>
      </c>
      <c r="D5" s="7">
        <v>805613.37156781019</v>
      </c>
      <c r="E5" s="8">
        <v>400897.81092968362</v>
      </c>
      <c r="O5">
        <v>1998</v>
      </c>
      <c r="P5" s="8">
        <v>1281837.6930259345</v>
      </c>
      <c r="Q5" s="8">
        <v>818052.02818200667</v>
      </c>
      <c r="R5" s="8">
        <v>935102.75952519698</v>
      </c>
      <c r="S5" s="8"/>
      <c r="T5" s="11" t="s">
        <v>11</v>
      </c>
      <c r="U5" s="8">
        <v>855202.56439349137</v>
      </c>
      <c r="V5" s="8">
        <v>608234.78805349965</v>
      </c>
    </row>
    <row r="6" spans="1:25" x14ac:dyDescent="0.25">
      <c r="A6">
        <v>1999</v>
      </c>
      <c r="B6" s="21">
        <v>699822.21960840223</v>
      </c>
      <c r="C6" s="21">
        <v>521720.63097069674</v>
      </c>
      <c r="D6" s="7">
        <v>809087.55338720733</v>
      </c>
      <c r="E6" s="8">
        <v>392230.52592993685</v>
      </c>
      <c r="O6">
        <v>1999</v>
      </c>
      <c r="P6" s="8">
        <v>1266920.823816712</v>
      </c>
      <c r="Q6" s="8">
        <v>806467.58902746683</v>
      </c>
      <c r="R6" s="8">
        <v>942461.62298331561</v>
      </c>
      <c r="S6" s="8"/>
      <c r="T6" s="11" t="s">
        <v>92</v>
      </c>
      <c r="U6" s="8">
        <v>788270.47080850613</v>
      </c>
      <c r="V6" s="8">
        <v>733909.69736635708</v>
      </c>
    </row>
    <row r="7" spans="1:25" x14ac:dyDescent="0.25">
      <c r="A7">
        <v>2000</v>
      </c>
      <c r="B7" s="21">
        <v>658664.88619665429</v>
      </c>
      <c r="C7" s="21">
        <v>496856.24989981763</v>
      </c>
      <c r="D7" s="7">
        <v>804265.96066118637</v>
      </c>
      <c r="E7" s="8">
        <v>374903.22238019761</v>
      </c>
      <c r="O7">
        <v>2000</v>
      </c>
      <c r="P7" s="8">
        <v>1242776.4485312137</v>
      </c>
      <c r="Q7" s="8">
        <v>790145.61669829092</v>
      </c>
      <c r="R7" s="8">
        <v>941641.25234517781</v>
      </c>
      <c r="S7" s="8"/>
      <c r="T7" s="11" t="s">
        <v>91</v>
      </c>
      <c r="U7" s="8">
        <v>788270.47080850613</v>
      </c>
      <c r="V7" s="8">
        <v>310928.05262398836</v>
      </c>
    </row>
    <row r="8" spans="1:25" x14ac:dyDescent="0.25">
      <c r="A8">
        <v>2001</v>
      </c>
      <c r="B8" s="21">
        <v>625052.83278255386</v>
      </c>
      <c r="C8" s="21">
        <v>475635.93739681208</v>
      </c>
      <c r="D8" s="7">
        <v>807699.72015338438</v>
      </c>
      <c r="E8" s="8">
        <v>365456.09972396621</v>
      </c>
      <c r="O8">
        <v>2001</v>
      </c>
      <c r="P8" s="8">
        <v>1226687.7419871502</v>
      </c>
      <c r="Q8" s="8">
        <v>777723.98519923957</v>
      </c>
      <c r="R8" s="8">
        <v>949196.27058789588</v>
      </c>
      <c r="S8" s="8"/>
      <c r="T8" s="11"/>
      <c r="U8" s="8"/>
      <c r="V8" s="8"/>
    </row>
    <row r="9" spans="1:25" x14ac:dyDescent="0.25">
      <c r="A9">
        <v>2002</v>
      </c>
      <c r="B9" s="21">
        <v>581652.41776603064</v>
      </c>
      <c r="C9" s="21">
        <v>449389.01551871648</v>
      </c>
      <c r="D9" s="7">
        <v>802836.492430349</v>
      </c>
      <c r="E9" s="8">
        <v>347325.56338804803</v>
      </c>
      <c r="O9">
        <v>2002</v>
      </c>
      <c r="P9" s="8">
        <v>1183776.3742467649</v>
      </c>
      <c r="Q9" s="8">
        <v>751759.70475521672</v>
      </c>
      <c r="R9" s="8">
        <v>931777.93937789579</v>
      </c>
      <c r="S9" s="8"/>
      <c r="T9" s="11"/>
      <c r="U9" s="11" t="s">
        <v>103</v>
      </c>
    </row>
    <row r="10" spans="1:25" x14ac:dyDescent="0.25">
      <c r="A10">
        <v>2003</v>
      </c>
      <c r="B10" s="21">
        <v>545729.9902990117</v>
      </c>
      <c r="C10" s="21">
        <v>426744.68598427798</v>
      </c>
      <c r="D10" s="7">
        <v>806227.367875622</v>
      </c>
      <c r="E10" s="8">
        <v>337051.11096205207</v>
      </c>
      <c r="O10">
        <v>2003</v>
      </c>
      <c r="P10" s="8">
        <v>1157137.6654741678</v>
      </c>
      <c r="Q10" s="8">
        <v>733796.49589787342</v>
      </c>
      <c r="R10" s="8">
        <v>930637.05823159555</v>
      </c>
      <c r="S10" s="8"/>
      <c r="U10" t="s">
        <v>19</v>
      </c>
      <c r="V10" t="s">
        <v>13</v>
      </c>
      <c r="W10" t="s">
        <v>11</v>
      </c>
      <c r="X10" t="s">
        <v>91</v>
      </c>
      <c r="Y10" t="s">
        <v>92</v>
      </c>
    </row>
    <row r="11" spans="1:25" x14ac:dyDescent="0.25">
      <c r="A11">
        <v>2004</v>
      </c>
      <c r="B11" s="21">
        <v>499949.89000798197</v>
      </c>
      <c r="C11" s="21">
        <v>399031.0265638064</v>
      </c>
      <c r="D11" s="7">
        <v>801319.96958425338</v>
      </c>
      <c r="E11" s="8">
        <v>318068.42496327643</v>
      </c>
      <c r="O11">
        <v>2004</v>
      </c>
      <c r="P11" s="8">
        <v>1138479.7954383933</v>
      </c>
      <c r="Q11" s="8">
        <v>719684.39077480952</v>
      </c>
      <c r="R11" s="8">
        <v>937861.95065090596</v>
      </c>
      <c r="S11" s="8"/>
      <c r="T11" s="9">
        <v>0.9</v>
      </c>
      <c r="U11" s="9">
        <v>0.1</v>
      </c>
      <c r="V11" s="8">
        <f t="shared" ref="V11:V20" si="0">(U$4*T11)+(V$4*U11)</f>
        <v>1268719.5181527557</v>
      </c>
      <c r="W11" s="8">
        <f t="shared" ref="W11:W20" si="1">(U$5*T11)+(V$5*U11)</f>
        <v>830505.78675949224</v>
      </c>
      <c r="X11" s="8">
        <f t="shared" ref="X11:X20" si="2">(U$6*T11)+(V$6*U11)</f>
        <v>782834.39346429124</v>
      </c>
      <c r="Y11" s="8">
        <f t="shared" ref="Y11:Y20" si="3">(U$7*T11)+(V$7*U11)</f>
        <v>740536.22899005434</v>
      </c>
    </row>
    <row r="12" spans="1:25" x14ac:dyDescent="0.25">
      <c r="A12">
        <v>2005</v>
      </c>
      <c r="B12" s="21">
        <v>461576.38670822157</v>
      </c>
      <c r="C12" s="21">
        <v>374875.95736072049</v>
      </c>
      <c r="D12" s="7">
        <v>804665.34934414388</v>
      </c>
      <c r="E12" s="8">
        <v>306916.25838453748</v>
      </c>
      <c r="O12">
        <v>2005</v>
      </c>
      <c r="P12" s="8">
        <v>1084142.1893015448</v>
      </c>
      <c r="Q12" s="8">
        <v>687588.92249805387</v>
      </c>
      <c r="R12" s="8">
        <v>911703.58984279586</v>
      </c>
      <c r="S12" s="8"/>
      <c r="T12" s="9">
        <v>0.8</v>
      </c>
      <c r="U12" s="9">
        <v>0.2</v>
      </c>
      <c r="V12" s="8">
        <f t="shared" si="0"/>
        <v>1221193.9816615477</v>
      </c>
      <c r="W12" s="8">
        <f t="shared" si="1"/>
        <v>805809.00912549312</v>
      </c>
      <c r="X12" s="8">
        <f t="shared" si="2"/>
        <v>777398.31612007646</v>
      </c>
      <c r="Y12" s="8">
        <f t="shared" si="3"/>
        <v>692801.98717160267</v>
      </c>
    </row>
    <row r="13" spans="1:25" x14ac:dyDescent="0.25">
      <c r="A13">
        <v>2006</v>
      </c>
      <c r="B13" s="21">
        <v>430831.6783094682</v>
      </c>
      <c r="C13" s="21">
        <v>354386.2360815421</v>
      </c>
      <c r="D13" s="7">
        <v>816511.09049683099</v>
      </c>
      <c r="E13" s="8">
        <v>303829.52680843632</v>
      </c>
      <c r="O13">
        <v>2006</v>
      </c>
      <c r="P13" s="8">
        <v>1010614.4549805912</v>
      </c>
      <c r="Q13" s="8">
        <v>645750.59017299546</v>
      </c>
      <c r="R13" s="8">
        <v>867960.47821044258</v>
      </c>
      <c r="S13" s="8"/>
      <c r="T13" s="9">
        <v>0.7</v>
      </c>
      <c r="U13" s="9">
        <v>0.3</v>
      </c>
      <c r="V13" s="8">
        <f t="shared" si="0"/>
        <v>1173668.4451703397</v>
      </c>
      <c r="W13" s="8">
        <f t="shared" si="1"/>
        <v>781112.23149149376</v>
      </c>
      <c r="X13" s="8">
        <f t="shared" si="2"/>
        <v>771962.23877586145</v>
      </c>
      <c r="Y13" s="8">
        <f t="shared" si="3"/>
        <v>645067.74535315076</v>
      </c>
    </row>
    <row r="14" spans="1:25" x14ac:dyDescent="0.25">
      <c r="A14">
        <v>2007</v>
      </c>
      <c r="B14" s="21">
        <v>403554.62865875225</v>
      </c>
      <c r="C14" s="21">
        <v>335476.82316398836</v>
      </c>
      <c r="D14" s="7">
        <v>832912.20388409868</v>
      </c>
      <c r="E14" s="8">
        <v>304850.19328505208</v>
      </c>
      <c r="O14">
        <v>2007</v>
      </c>
      <c r="P14" s="8">
        <v>961220.88863000879</v>
      </c>
      <c r="Q14" s="8">
        <v>615827.10787818546</v>
      </c>
      <c r="R14" s="8">
        <v>848105.0732291186</v>
      </c>
      <c r="S14" s="8"/>
      <c r="T14" s="9">
        <v>0.6</v>
      </c>
      <c r="U14" s="9">
        <v>0.4</v>
      </c>
      <c r="V14" s="8">
        <f t="shared" si="0"/>
        <v>1126142.9086791317</v>
      </c>
      <c r="W14" s="8">
        <f t="shared" si="1"/>
        <v>756415.45385749463</v>
      </c>
      <c r="X14" s="8">
        <f t="shared" si="2"/>
        <v>766526.16143164644</v>
      </c>
      <c r="Y14" s="8">
        <f t="shared" si="3"/>
        <v>597333.50353469898</v>
      </c>
    </row>
    <row r="15" spans="1:25" x14ac:dyDescent="0.25">
      <c r="A15">
        <v>2008</v>
      </c>
      <c r="B15" s="21">
        <v>379849.26751851488</v>
      </c>
      <c r="C15" s="21">
        <v>318195.12785890809</v>
      </c>
      <c r="D15" s="7">
        <v>854005.35067298415</v>
      </c>
      <c r="E15" s="8">
        <v>310101.47975596634</v>
      </c>
      <c r="O15">
        <v>2008</v>
      </c>
      <c r="P15" s="8">
        <v>927905.5152889092</v>
      </c>
      <c r="Q15" s="8">
        <v>593785.921114531</v>
      </c>
      <c r="R15" s="8">
        <v>844454.00609835482</v>
      </c>
      <c r="S15" s="8"/>
      <c r="T15" s="9">
        <v>0.5</v>
      </c>
      <c r="U15" s="9">
        <v>0.5</v>
      </c>
      <c r="V15" s="8">
        <f t="shared" si="0"/>
        <v>1078617.3721879236</v>
      </c>
      <c r="W15" s="8">
        <f t="shared" si="1"/>
        <v>731718.67622349551</v>
      </c>
      <c r="X15" s="8">
        <f t="shared" si="2"/>
        <v>761090.08408743166</v>
      </c>
      <c r="Y15" s="8">
        <f t="shared" si="3"/>
        <v>549599.2617162473</v>
      </c>
    </row>
    <row r="16" spans="1:25" x14ac:dyDescent="0.25">
      <c r="A16">
        <v>2009</v>
      </c>
      <c r="B16" s="21">
        <v>364212.74554407044</v>
      </c>
      <c r="C16" s="21">
        <v>304784.98169467528</v>
      </c>
      <c r="D16" s="7">
        <v>884131.29186553648</v>
      </c>
      <c r="E16" s="8">
        <v>323910.30482100806</v>
      </c>
      <c r="O16">
        <v>2009</v>
      </c>
      <c r="P16" s="8">
        <v>911150.68074757641</v>
      </c>
      <c r="Q16" s="8">
        <v>579863.49874796707</v>
      </c>
      <c r="R16" s="8">
        <v>857493.40695366811</v>
      </c>
      <c r="S16" s="8"/>
      <c r="T16" s="9">
        <v>0.4</v>
      </c>
      <c r="U16" s="9">
        <v>0.6</v>
      </c>
      <c r="V16" s="8">
        <f t="shared" si="0"/>
        <v>1031091.8356967157</v>
      </c>
      <c r="W16" s="8">
        <f t="shared" si="1"/>
        <v>707021.89858949638</v>
      </c>
      <c r="X16" s="8">
        <f t="shared" si="2"/>
        <v>755654.00674321665</v>
      </c>
      <c r="Y16" s="8">
        <f t="shared" si="3"/>
        <v>501865.01989779552</v>
      </c>
    </row>
    <row r="17" spans="1:25" x14ac:dyDescent="0.25">
      <c r="A17">
        <v>2010</v>
      </c>
      <c r="B17" s="21">
        <v>339327.12791039248</v>
      </c>
      <c r="C17" s="21">
        <v>286582.53114551556</v>
      </c>
      <c r="D17" s="7">
        <v>906761.01129386527</v>
      </c>
      <c r="E17" s="8">
        <v>329733.3946380011</v>
      </c>
      <c r="O17">
        <v>2010</v>
      </c>
      <c r="P17" s="8">
        <v>885113.20117000386</v>
      </c>
      <c r="Q17" s="8">
        <v>561133.40371040592</v>
      </c>
      <c r="R17" s="8">
        <v>862523.98983464099</v>
      </c>
      <c r="S17" s="8"/>
      <c r="T17" s="9">
        <v>0.3</v>
      </c>
      <c r="U17" s="9">
        <v>0.7</v>
      </c>
      <c r="V17" s="8">
        <f t="shared" si="0"/>
        <v>983566.29920550785</v>
      </c>
      <c r="W17" s="8">
        <f t="shared" si="1"/>
        <v>682325.12095549714</v>
      </c>
      <c r="X17" s="8">
        <f t="shared" si="2"/>
        <v>750217.92939900176</v>
      </c>
      <c r="Y17" s="8">
        <f t="shared" si="3"/>
        <v>454130.77807934367</v>
      </c>
    </row>
    <row r="18" spans="1:25" x14ac:dyDescent="0.25">
      <c r="A18">
        <v>2011</v>
      </c>
      <c r="B18" s="21">
        <v>313694.94174770429</v>
      </c>
      <c r="C18" s="21">
        <v>267834.00707988103</v>
      </c>
      <c r="D18" s="7">
        <v>899043.84163268143</v>
      </c>
      <c r="E18" s="8">
        <v>304705.39647714107</v>
      </c>
      <c r="O18">
        <v>2011</v>
      </c>
      <c r="P18" s="8">
        <v>840734.59720510407</v>
      </c>
      <c r="Q18" s="8">
        <v>533061.40582171828</v>
      </c>
      <c r="R18" s="8">
        <v>819879.70952968008</v>
      </c>
      <c r="S18" s="8"/>
      <c r="T18" s="9">
        <v>0.2</v>
      </c>
      <c r="U18" s="9">
        <v>0.8</v>
      </c>
      <c r="V18" s="8">
        <f t="shared" si="0"/>
        <v>936040.76271429984</v>
      </c>
      <c r="W18" s="8">
        <f t="shared" si="1"/>
        <v>657628.34332149802</v>
      </c>
      <c r="X18" s="8">
        <f t="shared" si="2"/>
        <v>744781.85205478698</v>
      </c>
      <c r="Y18" s="8">
        <f t="shared" si="3"/>
        <v>406396.53626089194</v>
      </c>
    </row>
    <row r="19" spans="1:25" x14ac:dyDescent="0.25">
      <c r="A19">
        <v>2012</v>
      </c>
      <c r="B19" s="21">
        <v>296073.79000013554</v>
      </c>
      <c r="C19" s="21">
        <v>252913.02729227749</v>
      </c>
      <c r="D19" s="7">
        <v>897815.15688166197</v>
      </c>
      <c r="E19" s="8">
        <v>287326.55837145541</v>
      </c>
      <c r="O19">
        <v>2012</v>
      </c>
      <c r="P19" s="8">
        <v>795024.63512125704</v>
      </c>
      <c r="Q19" s="8">
        <v>504147.24799636984</v>
      </c>
      <c r="R19" s="8">
        <v>775956.10081557056</v>
      </c>
      <c r="S19" s="8"/>
      <c r="T19" s="9">
        <v>0.1</v>
      </c>
      <c r="U19" s="9">
        <v>0.9</v>
      </c>
      <c r="V19" s="8">
        <f t="shared" si="0"/>
        <v>888515.22622309183</v>
      </c>
      <c r="W19" s="8">
        <f t="shared" si="1"/>
        <v>632931.56568749889</v>
      </c>
      <c r="X19" s="8">
        <f t="shared" si="2"/>
        <v>739345.77471057198</v>
      </c>
      <c r="Y19" s="8">
        <f t="shared" si="3"/>
        <v>358662.29444244015</v>
      </c>
    </row>
    <row r="20" spans="1:25" x14ac:dyDescent="0.25">
      <c r="A20">
        <v>2013</v>
      </c>
      <c r="B20" s="21">
        <v>273534.00370013964</v>
      </c>
      <c r="C20" s="21">
        <v>235349.41811104582</v>
      </c>
      <c r="D20" s="7">
        <v>888149.6115881115</v>
      </c>
      <c r="E20" s="8">
        <v>265226.35512259899</v>
      </c>
      <c r="O20">
        <v>2013</v>
      </c>
      <c r="P20" s="8">
        <v>756723.374174895</v>
      </c>
      <c r="Q20" s="8">
        <v>478755.66543626093</v>
      </c>
      <c r="R20" s="8">
        <v>739114.78384003777</v>
      </c>
      <c r="S20" s="8"/>
      <c r="T20" s="9">
        <v>0</v>
      </c>
      <c r="U20" s="9">
        <v>1</v>
      </c>
      <c r="V20" s="8">
        <f t="shared" si="0"/>
        <v>840989.68973188393</v>
      </c>
      <c r="W20" s="8">
        <f t="shared" si="1"/>
        <v>608234.78805349965</v>
      </c>
      <c r="X20" s="8">
        <f t="shared" si="2"/>
        <v>733909.69736635708</v>
      </c>
      <c r="Y20" s="8">
        <f t="shared" si="3"/>
        <v>310928.05262398836</v>
      </c>
    </row>
    <row r="21" spans="1:25" x14ac:dyDescent="0.25">
      <c r="A21">
        <v>2014</v>
      </c>
      <c r="B21" s="21">
        <v>237148.02381114391</v>
      </c>
      <c r="C21" s="21">
        <v>210673.90065437721</v>
      </c>
      <c r="D21" s="7">
        <v>869794.09993575513</v>
      </c>
      <c r="E21" s="8">
        <v>229863.145776277</v>
      </c>
      <c r="O21">
        <v>2014</v>
      </c>
      <c r="P21" s="8">
        <v>699713.07540014165</v>
      </c>
      <c r="Q21" s="8">
        <v>443822.3353993487</v>
      </c>
      <c r="R21" s="8">
        <v>684368.22735523875</v>
      </c>
      <c r="S21" s="8"/>
    </row>
    <row r="22" spans="1:25" x14ac:dyDescent="0.25">
      <c r="A22">
        <v>2015</v>
      </c>
      <c r="B22" s="21">
        <v>190890.46452547819</v>
      </c>
      <c r="C22" s="21">
        <v>180868.11767400854</v>
      </c>
      <c r="D22" s="7">
        <v>842487.92293382774</v>
      </c>
      <c r="E22" s="8">
        <v>185039.04014956529</v>
      </c>
      <c r="O22">
        <v>2015</v>
      </c>
      <c r="P22" s="8">
        <v>632212.46766214597</v>
      </c>
      <c r="Q22" s="8">
        <v>403451.00546132925</v>
      </c>
      <c r="R22" s="8">
        <v>619579.27417589608</v>
      </c>
      <c r="S22" s="8"/>
    </row>
    <row r="23" spans="1:25" x14ac:dyDescent="0.25">
      <c r="A23">
        <v>2016</v>
      </c>
      <c r="B23" s="21">
        <v>160805.17846124261</v>
      </c>
      <c r="C23" s="21">
        <v>158948.16120422876</v>
      </c>
      <c r="D23" s="7">
        <v>805962.56062184263</v>
      </c>
      <c r="E23" s="8">
        <v>155670.21135405224</v>
      </c>
      <c r="O23">
        <v>2016</v>
      </c>
      <c r="P23" s="8">
        <v>580246.84169201052</v>
      </c>
      <c r="Q23" s="8">
        <v>370648.53562516923</v>
      </c>
      <c r="R23" s="8">
        <v>569646.65240117302</v>
      </c>
      <c r="S23" s="8"/>
    </row>
    <row r="24" spans="1:25" x14ac:dyDescent="0.25">
      <c r="A24">
        <v>2017</v>
      </c>
      <c r="B24" s="21">
        <v>138597.33381507991</v>
      </c>
      <c r="C24" s="21">
        <v>140760.60604035566</v>
      </c>
      <c r="D24" s="7">
        <v>755741.4374404978</v>
      </c>
      <c r="E24" s="8">
        <v>133820.31769467381</v>
      </c>
      <c r="O24">
        <v>2017</v>
      </c>
      <c r="P24" s="8">
        <v>544282.24694277078</v>
      </c>
      <c r="Q24" s="8">
        <v>345641.9916939243</v>
      </c>
      <c r="R24" s="8">
        <v>535016.0519732082</v>
      </c>
      <c r="S24" s="8"/>
    </row>
    <row r="25" spans="1:25" x14ac:dyDescent="0.25">
      <c r="A25">
        <v>2018</v>
      </c>
      <c r="B25" s="21">
        <v>98163.253829532332</v>
      </c>
      <c r="C25" s="21">
        <v>113247.4242215663</v>
      </c>
      <c r="D25" s="7">
        <v>691413.68056371284</v>
      </c>
      <c r="E25" s="8">
        <v>94514.927225514053</v>
      </c>
      <c r="O25">
        <v>2018</v>
      </c>
      <c r="P25" s="8">
        <v>516018.71435105399</v>
      </c>
      <c r="Q25" s="8">
        <v>324275.25144474191</v>
      </c>
      <c r="R25" s="8">
        <v>507746.53353240446</v>
      </c>
      <c r="S25" s="8"/>
    </row>
    <row r="26" spans="1:25" x14ac:dyDescent="0.25">
      <c r="A26">
        <v>2019</v>
      </c>
      <c r="B26" s="21">
        <v>74076.151444418312</v>
      </c>
      <c r="C26" s="21">
        <v>93688.846948213308</v>
      </c>
      <c r="D26" s="7">
        <v>629356.09098062431</v>
      </c>
      <c r="E26" s="8">
        <v>70830.375042279484</v>
      </c>
      <c r="O26">
        <v>2019</v>
      </c>
      <c r="P26" s="8">
        <v>451787.2757815856</v>
      </c>
      <c r="Q26" s="8">
        <v>284707.50898808421</v>
      </c>
      <c r="R26" s="8">
        <v>446058.92953837651</v>
      </c>
      <c r="S26" s="8"/>
    </row>
    <row r="27" spans="1:25" x14ac:dyDescent="0.25">
      <c r="A27">
        <v>2020</v>
      </c>
      <c r="B27" s="21">
        <v>58046.435987750876</v>
      </c>
      <c r="C27" s="21">
        <v>77933.512356659703</v>
      </c>
      <c r="D27" s="7">
        <v>552836.77371004294</v>
      </c>
      <c r="E27" s="8">
        <v>54835.28629354787</v>
      </c>
      <c r="O27">
        <v>2020</v>
      </c>
      <c r="P27" s="8">
        <v>394408.89405503322</v>
      </c>
      <c r="Q27" s="8">
        <v>248342.73425772676</v>
      </c>
      <c r="R27" s="8">
        <v>390920.69742452784</v>
      </c>
      <c r="S27" s="8"/>
    </row>
    <row r="28" spans="1:25" x14ac:dyDescent="0.25">
      <c r="A28">
        <v>2021</v>
      </c>
      <c r="B28" s="21">
        <v>32755.829067383442</v>
      </c>
      <c r="C28" s="21">
        <v>57315.517727359504</v>
      </c>
      <c r="D28" s="7">
        <v>478221.87692134426</v>
      </c>
      <c r="E28" s="8">
        <v>29960.344882354308</v>
      </c>
      <c r="O28">
        <v>2021</v>
      </c>
      <c r="P28" s="8">
        <v>317749.16087668424</v>
      </c>
      <c r="Q28" s="8">
        <v>202107.01628545858</v>
      </c>
      <c r="R28" s="8">
        <v>317328.31834726373</v>
      </c>
      <c r="S28" s="8"/>
    </row>
    <row r="29" spans="1:25" x14ac:dyDescent="0.25">
      <c r="A29">
        <v>2022</v>
      </c>
      <c r="B29" s="21">
        <v>11096.503939404971</v>
      </c>
      <c r="C29" s="21">
        <v>38273.983259180291</v>
      </c>
      <c r="D29" s="7">
        <v>388768.53322898457</v>
      </c>
      <c r="E29" s="8">
        <v>8539.1552288249331</v>
      </c>
      <c r="O29">
        <v>2022</v>
      </c>
      <c r="P29" s="8">
        <v>256349.63570298481</v>
      </c>
      <c r="Q29" s="8">
        <v>163264.2267740223</v>
      </c>
      <c r="R29" s="8">
        <v>258328.16789768165</v>
      </c>
      <c r="S29" s="8"/>
    </row>
    <row r="30" spans="1:25" x14ac:dyDescent="0.25">
      <c r="A30">
        <v>2023</v>
      </c>
      <c r="B30" s="21">
        <v>1957.3990575871189</v>
      </c>
      <c r="C30" s="21">
        <v>25246.202756955721</v>
      </c>
      <c r="D30" s="7">
        <v>300831.58922585414</v>
      </c>
      <c r="E30" s="8">
        <v>-924.67011431031813</v>
      </c>
      <c r="O30">
        <v>2023</v>
      </c>
      <c r="P30" s="8">
        <v>184328.12477407433</v>
      </c>
      <c r="Q30" s="8">
        <v>118866.15357724299</v>
      </c>
      <c r="R30" s="8">
        <v>189158.01293461211</v>
      </c>
      <c r="S30" s="8"/>
    </row>
    <row r="31" spans="1:25" x14ac:dyDescent="0.25">
      <c r="A31">
        <v>2024</v>
      </c>
      <c r="B31" s="21">
        <v>1324.1210293147326</v>
      </c>
      <c r="C31" s="21">
        <v>16217.588839664408</v>
      </c>
      <c r="D31" s="7">
        <v>201856.5369026298</v>
      </c>
      <c r="E31" s="8">
        <v>-2272.4102177396276</v>
      </c>
      <c r="O31">
        <v>2024</v>
      </c>
      <c r="P31" s="8">
        <v>118925.96851729658</v>
      </c>
      <c r="Q31" s="8">
        <v>77526.138184560288</v>
      </c>
      <c r="R31" s="8">
        <v>126312.75332265046</v>
      </c>
      <c r="S31" s="8"/>
    </row>
    <row r="32" spans="1:25" x14ac:dyDescent="0.25">
      <c r="A32">
        <v>2025</v>
      </c>
      <c r="B32" s="21">
        <v>671.84466019417471</v>
      </c>
      <c r="C32" s="21">
        <v>7796.1165048543544</v>
      </c>
      <c r="D32" s="7">
        <v>101592.23300970868</v>
      </c>
      <c r="E32" s="8">
        <v>-1980.5825242718163</v>
      </c>
      <c r="O32">
        <v>2025</v>
      </c>
      <c r="P32" s="8">
        <v>60341.747572815504</v>
      </c>
      <c r="Q32" s="8">
        <v>39335.922330097084</v>
      </c>
      <c r="R32" s="8">
        <v>63262.135922330039</v>
      </c>
      <c r="S32" s="8"/>
    </row>
    <row r="33" spans="1:5" x14ac:dyDescent="0.25">
      <c r="A33" s="17"/>
      <c r="B33" s="17"/>
      <c r="C33" s="17"/>
      <c r="D33" s="17"/>
      <c r="E33" s="17"/>
    </row>
    <row r="35" spans="1:5" x14ac:dyDescent="0.25">
      <c r="B35" s="21"/>
      <c r="C35" s="21"/>
      <c r="D35" s="22"/>
      <c r="E35" s="22"/>
    </row>
    <row r="36" spans="1:5" x14ac:dyDescent="0.25">
      <c r="B36" s="21"/>
      <c r="C36" s="21"/>
      <c r="D36" s="22"/>
      <c r="E36" s="22"/>
    </row>
    <row r="37" spans="1:5" x14ac:dyDescent="0.25">
      <c r="B37" s="21"/>
      <c r="C37" s="21"/>
      <c r="D37" s="22"/>
      <c r="E37" s="22"/>
    </row>
    <row r="38" spans="1:5" x14ac:dyDescent="0.25">
      <c r="B38" s="21"/>
      <c r="C38" s="21"/>
      <c r="D38" s="22"/>
      <c r="E38" s="22"/>
    </row>
    <row r="39" spans="1:5" x14ac:dyDescent="0.25">
      <c r="B39" s="21"/>
      <c r="C39" s="21"/>
      <c r="D39" s="22"/>
      <c r="E39" s="22"/>
    </row>
    <row r="40" spans="1:5" x14ac:dyDescent="0.25">
      <c r="B40" s="21"/>
      <c r="C40" s="21"/>
      <c r="D40" s="22"/>
      <c r="E40" s="22"/>
    </row>
    <row r="41" spans="1:5" x14ac:dyDescent="0.25">
      <c r="B41" s="21"/>
      <c r="C41" s="21"/>
      <c r="D41" s="22"/>
      <c r="E41" s="22"/>
    </row>
    <row r="42" spans="1:5" x14ac:dyDescent="0.25">
      <c r="B42" s="21"/>
      <c r="C42" s="21"/>
      <c r="D42" s="22"/>
      <c r="E42" s="22"/>
    </row>
    <row r="43" spans="1:5" x14ac:dyDescent="0.25">
      <c r="B43" s="21"/>
      <c r="C43" s="21"/>
      <c r="D43" s="22"/>
      <c r="E43" s="22"/>
    </row>
    <row r="44" spans="1:5" x14ac:dyDescent="0.25">
      <c r="B44" s="21"/>
      <c r="C44" s="21"/>
      <c r="D44" s="22"/>
      <c r="E44" s="22"/>
    </row>
    <row r="45" spans="1:5" x14ac:dyDescent="0.25">
      <c r="B45" s="21"/>
      <c r="C45" s="21"/>
      <c r="D45" s="22"/>
      <c r="E45" s="22"/>
    </row>
    <row r="46" spans="1:5" x14ac:dyDescent="0.25">
      <c r="B46" s="21"/>
      <c r="C46" s="21"/>
      <c r="D46" s="22"/>
      <c r="E46" s="22"/>
    </row>
    <row r="47" spans="1:5" x14ac:dyDescent="0.25">
      <c r="B47" s="21"/>
      <c r="C47" s="21"/>
      <c r="D47" s="22"/>
      <c r="E47" s="22"/>
    </row>
    <row r="48" spans="1:5" x14ac:dyDescent="0.25">
      <c r="B48" s="21"/>
      <c r="C48" s="21"/>
      <c r="D48" s="22"/>
      <c r="E48" s="22"/>
    </row>
    <row r="49" spans="2:5" x14ac:dyDescent="0.25">
      <c r="B49" s="21"/>
      <c r="C49" s="21"/>
      <c r="D49" s="22"/>
      <c r="E49" s="22"/>
    </row>
    <row r="50" spans="2:5" x14ac:dyDescent="0.25">
      <c r="B50" s="21"/>
      <c r="C50" s="21"/>
      <c r="D50" s="22"/>
      <c r="E50" s="22"/>
    </row>
    <row r="51" spans="2:5" x14ac:dyDescent="0.25">
      <c r="B51" s="21"/>
      <c r="C51" s="21"/>
      <c r="D51" s="22"/>
      <c r="E51" s="22"/>
    </row>
    <row r="52" spans="2:5" x14ac:dyDescent="0.25">
      <c r="B52" s="21"/>
      <c r="C52" s="21"/>
      <c r="D52" s="22"/>
      <c r="E52" s="22"/>
    </row>
    <row r="53" spans="2:5" x14ac:dyDescent="0.25">
      <c r="B53" s="21"/>
      <c r="C53" s="21"/>
      <c r="D53" s="22"/>
      <c r="E53" s="22"/>
    </row>
    <row r="54" spans="2:5" x14ac:dyDescent="0.25">
      <c r="B54" s="21"/>
      <c r="C54" s="21"/>
      <c r="D54" s="22"/>
      <c r="E54" s="22"/>
    </row>
    <row r="55" spans="2:5" x14ac:dyDescent="0.25">
      <c r="B55" s="21"/>
      <c r="C55" s="21"/>
      <c r="D55" s="22"/>
      <c r="E55" s="22"/>
    </row>
    <row r="56" spans="2:5" x14ac:dyDescent="0.25">
      <c r="B56" s="21"/>
      <c r="C56" s="21"/>
      <c r="D56" s="22"/>
      <c r="E56" s="22"/>
    </row>
    <row r="57" spans="2:5" x14ac:dyDescent="0.25">
      <c r="B57" s="21"/>
      <c r="C57" s="21"/>
      <c r="D57" s="22"/>
      <c r="E57" s="22"/>
    </row>
    <row r="58" spans="2:5" x14ac:dyDescent="0.25">
      <c r="B58" s="21"/>
      <c r="C58" s="21"/>
      <c r="D58" s="22"/>
      <c r="E58" s="22"/>
    </row>
    <row r="59" spans="2:5" x14ac:dyDescent="0.25">
      <c r="B59" s="21"/>
      <c r="C59" s="21"/>
      <c r="D59" s="22"/>
      <c r="E59" s="22"/>
    </row>
    <row r="60" spans="2:5" x14ac:dyDescent="0.25">
      <c r="B60" s="21"/>
      <c r="C60" s="21"/>
      <c r="D60" s="22"/>
      <c r="E60" s="22"/>
    </row>
    <row r="61" spans="2:5" x14ac:dyDescent="0.25">
      <c r="B61" s="21"/>
      <c r="C61" s="21"/>
      <c r="D61" s="22"/>
      <c r="E61" s="22"/>
    </row>
    <row r="62" spans="2:5" x14ac:dyDescent="0.25">
      <c r="B62" s="21"/>
      <c r="C62" s="21"/>
      <c r="D62" s="22"/>
      <c r="E62" s="22"/>
    </row>
    <row r="63" spans="2:5" x14ac:dyDescent="0.25">
      <c r="B63" s="21"/>
      <c r="C63" s="21"/>
      <c r="D63" s="22"/>
      <c r="E63" s="22"/>
    </row>
    <row r="64" spans="2:5" x14ac:dyDescent="0.25">
      <c r="B64" s="21"/>
      <c r="C64" s="21"/>
      <c r="D64" s="22"/>
      <c r="E64" s="2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heetViews>
  <sheetFormatPr defaultColWidth="25.7109375" defaultRowHeight="15" x14ac:dyDescent="0.25"/>
  <sheetData>
    <row r="1" spans="1:16" x14ac:dyDescent="0.25">
      <c r="A1" t="s">
        <v>43</v>
      </c>
      <c r="B1" t="s">
        <v>44</v>
      </c>
    </row>
    <row r="2" spans="1:16" x14ac:dyDescent="0.25">
      <c r="A2" t="s">
        <v>45</v>
      </c>
      <c r="B2" t="s">
        <v>46</v>
      </c>
    </row>
    <row r="3" spans="1:16" x14ac:dyDescent="0.25">
      <c r="A3" t="s">
        <v>47</v>
      </c>
      <c r="B3" t="s">
        <v>46</v>
      </c>
    </row>
    <row r="4" spans="1:16" x14ac:dyDescent="0.25">
      <c r="A4" t="s">
        <v>48</v>
      </c>
      <c r="B4" t="s">
        <v>270</v>
      </c>
    </row>
    <row r="9" spans="1:16" x14ac:dyDescent="0.25">
      <c r="A9" t="s">
        <v>49</v>
      </c>
      <c r="B9">
        <v>6</v>
      </c>
    </row>
    <row r="10" spans="1:16" x14ac:dyDescent="0.25">
      <c r="A10" t="s">
        <v>50</v>
      </c>
      <c r="B10" t="s">
        <v>51</v>
      </c>
      <c r="C10" t="s">
        <v>52</v>
      </c>
      <c r="D10" t="s">
        <v>53</v>
      </c>
      <c r="E10" t="s">
        <v>54</v>
      </c>
      <c r="F10" t="s">
        <v>55</v>
      </c>
      <c r="G10" t="s">
        <v>56</v>
      </c>
      <c r="H10" t="s">
        <v>57</v>
      </c>
      <c r="I10" t="s">
        <v>58</v>
      </c>
      <c r="J10" t="s">
        <v>59</v>
      </c>
      <c r="K10" t="s">
        <v>60</v>
      </c>
      <c r="L10" t="s">
        <v>61</v>
      </c>
      <c r="M10" t="s">
        <v>62</v>
      </c>
      <c r="N10" t="s">
        <v>63</v>
      </c>
      <c r="O10" t="s">
        <v>64</v>
      </c>
    </row>
    <row r="11" spans="1:16" x14ac:dyDescent="0.25">
      <c r="A11" t="s">
        <v>65</v>
      </c>
      <c r="B11" s="20" t="s">
        <v>14</v>
      </c>
      <c r="C11" t="e">
        <f>'Model Description'!$R$24:$R$40</f>
        <v>#VALUE!</v>
      </c>
      <c r="D11">
        <v>0</v>
      </c>
      <c r="E11" s="20" t="s">
        <v>66</v>
      </c>
      <c r="F11" t="s">
        <v>69</v>
      </c>
      <c r="J11" t="s">
        <v>67</v>
      </c>
      <c r="K11" t="s">
        <v>68</v>
      </c>
      <c r="O11">
        <v>4</v>
      </c>
      <c r="P11" t="b">
        <v>1</v>
      </c>
    </row>
    <row r="12" spans="1:16" x14ac:dyDescent="0.25">
      <c r="A12" t="s">
        <v>70</v>
      </c>
      <c r="B12" s="20" t="s">
        <v>12</v>
      </c>
      <c r="C12" t="e">
        <f>'Model Description'!$S$24:$S$40</f>
        <v>#VALUE!</v>
      </c>
      <c r="D12">
        <v>0</v>
      </c>
      <c r="E12" s="20" t="s">
        <v>66</v>
      </c>
      <c r="F12" t="s">
        <v>71</v>
      </c>
      <c r="J12" t="s">
        <v>67</v>
      </c>
      <c r="K12" t="s">
        <v>68</v>
      </c>
      <c r="O12">
        <v>4</v>
      </c>
      <c r="P12" t="b">
        <v>1</v>
      </c>
    </row>
    <row r="13" spans="1:16" x14ac:dyDescent="0.25">
      <c r="A13" t="s">
        <v>72</v>
      </c>
      <c r="B13" s="20" t="s">
        <v>73</v>
      </c>
      <c r="C13" t="e">
        <f>'Model Description'!$R$24:$R$40</f>
        <v>#VALUE!</v>
      </c>
      <c r="D13">
        <v>0</v>
      </c>
      <c r="E13" s="20" t="s">
        <v>66</v>
      </c>
      <c r="F13" t="s">
        <v>74</v>
      </c>
      <c r="J13" t="s">
        <v>67</v>
      </c>
      <c r="K13" t="s">
        <v>68</v>
      </c>
      <c r="O13">
        <v>4</v>
      </c>
      <c r="P13" t="b">
        <v>1</v>
      </c>
    </row>
    <row r="14" spans="1:16" x14ac:dyDescent="0.25">
      <c r="A14" t="s">
        <v>75</v>
      </c>
      <c r="B14" s="20" t="s">
        <v>76</v>
      </c>
      <c r="C14" t="e">
        <f>'Model Description'!$S$24:$S$40</f>
        <v>#VALUE!</v>
      </c>
      <c r="D14">
        <v>0</v>
      </c>
      <c r="E14" s="20" t="s">
        <v>66</v>
      </c>
      <c r="F14" t="s">
        <v>77</v>
      </c>
      <c r="J14" t="s">
        <v>67</v>
      </c>
      <c r="K14" t="s">
        <v>68</v>
      </c>
      <c r="O14">
        <v>4</v>
      </c>
      <c r="P14" t="b">
        <v>1</v>
      </c>
    </row>
    <row r="15" spans="1:16" x14ac:dyDescent="0.25">
      <c r="A15" t="s">
        <v>78</v>
      </c>
      <c r="B15" s="20" t="s">
        <v>79</v>
      </c>
      <c r="C15" t="e">
        <f>'Model Description'!$R$24:$R$40</f>
        <v>#VALUE!</v>
      </c>
      <c r="D15">
        <v>0</v>
      </c>
      <c r="E15" s="20" t="s">
        <v>66</v>
      </c>
      <c r="F15" t="s">
        <v>80</v>
      </c>
      <c r="J15" t="s">
        <v>67</v>
      </c>
      <c r="K15" t="s">
        <v>68</v>
      </c>
      <c r="O15">
        <v>4</v>
      </c>
      <c r="P15" t="b">
        <v>1</v>
      </c>
    </row>
    <row r="16" spans="1:16" x14ac:dyDescent="0.25">
      <c r="A16" t="s">
        <v>81</v>
      </c>
      <c r="B16" s="20" t="s">
        <v>82</v>
      </c>
      <c r="C16" t="e">
        <f>'Model Description'!$S$24:$S$40</f>
        <v>#VALUE!</v>
      </c>
      <c r="D16">
        <v>0</v>
      </c>
      <c r="E16" s="20" t="s">
        <v>66</v>
      </c>
      <c r="F16" t="s">
        <v>83</v>
      </c>
      <c r="J16" t="s">
        <v>67</v>
      </c>
      <c r="K16" t="s">
        <v>68</v>
      </c>
      <c r="O16">
        <v>4</v>
      </c>
      <c r="P16" t="b">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workbookViewId="0">
      <selection activeCell="J46" sqref="J46"/>
    </sheetView>
  </sheetViews>
  <sheetFormatPr defaultRowHeight="15.75" x14ac:dyDescent="0.25"/>
  <cols>
    <col min="1" max="1" width="39.5703125" style="79" customWidth="1"/>
    <col min="2" max="2" width="11.28515625" style="80" customWidth="1"/>
    <col min="3" max="3" width="11.28515625" style="81" customWidth="1"/>
    <col min="4" max="4" width="11.28515625" style="80" customWidth="1"/>
    <col min="5" max="5" width="11.28515625" style="82" customWidth="1"/>
    <col min="6" max="7" width="11.28515625" style="83" customWidth="1"/>
  </cols>
  <sheetData>
    <row r="1" spans="1:7" ht="15" x14ac:dyDescent="0.25">
      <c r="A1" s="28" t="s">
        <v>120</v>
      </c>
      <c r="B1" s="29"/>
      <c r="C1" s="29"/>
      <c r="D1" s="29"/>
      <c r="E1" s="30"/>
      <c r="F1" s="30"/>
      <c r="G1" s="30"/>
    </row>
    <row r="2" spans="1:7" thickBot="1" x14ac:dyDescent="0.3">
      <c r="A2" s="31"/>
      <c r="B2" s="32"/>
      <c r="C2" s="32"/>
      <c r="D2" s="32"/>
      <c r="E2" s="31"/>
      <c r="F2" s="31"/>
      <c r="G2" s="31"/>
    </row>
    <row r="3" spans="1:7" ht="15" x14ac:dyDescent="0.25">
      <c r="A3" s="33"/>
      <c r="B3" s="122" t="s">
        <v>121</v>
      </c>
      <c r="C3" s="122"/>
      <c r="D3" s="123" t="s">
        <v>122</v>
      </c>
      <c r="E3" s="123"/>
      <c r="F3" s="122" t="s">
        <v>123</v>
      </c>
      <c r="G3" s="122"/>
    </row>
    <row r="4" spans="1:7" ht="15" x14ac:dyDescent="0.25">
      <c r="A4" s="34" t="s">
        <v>124</v>
      </c>
      <c r="B4" s="35">
        <v>2011</v>
      </c>
      <c r="C4" s="35">
        <v>2012</v>
      </c>
      <c r="D4" s="35">
        <v>2011</v>
      </c>
      <c r="E4" s="35">
        <v>2012</v>
      </c>
      <c r="F4" s="35">
        <v>2011</v>
      </c>
      <c r="G4" s="35">
        <v>2012</v>
      </c>
    </row>
    <row r="5" spans="1:7" thickBot="1" x14ac:dyDescent="0.3">
      <c r="A5" s="31"/>
      <c r="B5" s="36"/>
      <c r="C5" s="36"/>
      <c r="D5" s="31"/>
      <c r="E5" s="31"/>
      <c r="F5" s="31"/>
      <c r="G5" s="31"/>
    </row>
    <row r="6" spans="1:7" ht="15" x14ac:dyDescent="0.25">
      <c r="A6" s="33"/>
      <c r="B6" s="37"/>
      <c r="C6" s="37"/>
      <c r="D6" s="33"/>
      <c r="E6" s="33"/>
      <c r="F6" s="33"/>
      <c r="G6"/>
    </row>
    <row r="7" spans="1:7" ht="15" x14ac:dyDescent="0.25">
      <c r="A7" s="34" t="s">
        <v>125</v>
      </c>
      <c r="B7" s="38"/>
      <c r="C7" s="38"/>
      <c r="D7" s="30"/>
      <c r="E7" s="30"/>
      <c r="F7" s="30"/>
      <c r="G7" s="30"/>
    </row>
    <row r="8" spans="1:7" ht="15" x14ac:dyDescent="0.25">
      <c r="A8" s="39" t="s">
        <v>126</v>
      </c>
      <c r="B8" s="40">
        <f>+B39*B40</f>
        <v>279.3</v>
      </c>
      <c r="C8" s="40">
        <f>+C39*C40</f>
        <v>333.96</v>
      </c>
      <c r="D8" s="40">
        <f>+D39*D40</f>
        <v>285.12</v>
      </c>
      <c r="E8" s="40">
        <f t="shared" ref="E8:G8" si="0">+E39*E40</f>
        <v>304.44</v>
      </c>
      <c r="F8" s="40">
        <f>+F39*F40</f>
        <v>190.89000000000001</v>
      </c>
      <c r="G8" s="40">
        <f t="shared" si="0"/>
        <v>295.63</v>
      </c>
    </row>
    <row r="9" spans="1:7" ht="15" x14ac:dyDescent="0.25">
      <c r="A9" s="39" t="s">
        <v>127</v>
      </c>
      <c r="B9" s="41">
        <v>9.35</v>
      </c>
      <c r="C9" s="41">
        <v>10.87</v>
      </c>
      <c r="D9" s="42">
        <v>3.42</v>
      </c>
      <c r="E9" s="42">
        <v>3.94</v>
      </c>
      <c r="F9" s="42">
        <v>15.18</v>
      </c>
      <c r="G9" s="42">
        <v>17.489999999999998</v>
      </c>
    </row>
    <row r="10" spans="1:7" ht="15" x14ac:dyDescent="0.25">
      <c r="A10" s="34" t="s">
        <v>128</v>
      </c>
      <c r="B10" s="43">
        <f>+B8+B9</f>
        <v>288.65000000000003</v>
      </c>
      <c r="C10" s="43">
        <f t="shared" ref="C10:G10" si="1">+C8+C9</f>
        <v>344.83</v>
      </c>
      <c r="D10" s="40">
        <f>+D8+D9</f>
        <v>288.54000000000002</v>
      </c>
      <c r="E10" s="40">
        <f t="shared" si="1"/>
        <v>308.38</v>
      </c>
      <c r="F10" s="40">
        <f>+F8+F9</f>
        <v>206.07000000000002</v>
      </c>
      <c r="G10" s="40">
        <f t="shared" si="1"/>
        <v>313.12</v>
      </c>
    </row>
    <row r="11" spans="1:7" ht="15" x14ac:dyDescent="0.25">
      <c r="A11" s="30"/>
      <c r="B11" s="44"/>
      <c r="C11" s="44"/>
      <c r="D11" s="42"/>
      <c r="E11" s="42"/>
      <c r="F11" s="42"/>
      <c r="G11" s="42"/>
    </row>
    <row r="12" spans="1:7" ht="15" x14ac:dyDescent="0.25">
      <c r="A12" s="39" t="s">
        <v>129</v>
      </c>
      <c r="B12" s="44"/>
      <c r="C12" s="44"/>
      <c r="D12" s="42"/>
      <c r="E12" s="42"/>
      <c r="F12" s="42"/>
      <c r="G12" s="42"/>
    </row>
    <row r="13" spans="1:7" ht="15" x14ac:dyDescent="0.25">
      <c r="A13" s="34" t="s">
        <v>130</v>
      </c>
      <c r="B13" s="41">
        <v>13.39</v>
      </c>
      <c r="C13" s="41">
        <v>16.61</v>
      </c>
      <c r="D13" s="42">
        <v>13.41</v>
      </c>
      <c r="E13" s="42">
        <v>17.04</v>
      </c>
      <c r="F13" s="42">
        <v>10.23</v>
      </c>
      <c r="G13" s="42">
        <v>12.99</v>
      </c>
    </row>
    <row r="14" spans="1:7" ht="15" x14ac:dyDescent="0.25">
      <c r="A14" s="39" t="s">
        <v>131</v>
      </c>
      <c r="B14" s="41">
        <v>44.32</v>
      </c>
      <c r="C14" s="41">
        <v>46.26</v>
      </c>
      <c r="D14" s="42">
        <v>39.72</v>
      </c>
      <c r="E14" s="42">
        <v>42.57</v>
      </c>
      <c r="F14" s="42">
        <v>36.32</v>
      </c>
      <c r="G14" s="42">
        <v>38.92</v>
      </c>
    </row>
    <row r="15" spans="1:7" ht="15" x14ac:dyDescent="0.25">
      <c r="A15" s="34" t="s">
        <v>132</v>
      </c>
      <c r="B15" s="41">
        <v>13.47</v>
      </c>
      <c r="C15" s="41">
        <v>14.15</v>
      </c>
      <c r="D15" s="42">
        <v>19.97</v>
      </c>
      <c r="E15" s="42">
        <v>20.95</v>
      </c>
      <c r="F15" s="42">
        <v>8.17</v>
      </c>
      <c r="G15" s="42">
        <v>8.56</v>
      </c>
    </row>
    <row r="16" spans="1:7" ht="15" x14ac:dyDescent="0.25">
      <c r="A16" s="34" t="s">
        <v>133</v>
      </c>
      <c r="B16" s="41">
        <v>9.67</v>
      </c>
      <c r="C16" s="41">
        <v>10.23</v>
      </c>
      <c r="D16" s="42">
        <v>8.49</v>
      </c>
      <c r="E16" s="42">
        <v>9.01</v>
      </c>
      <c r="F16" s="42">
        <v>10.28</v>
      </c>
      <c r="G16" s="42">
        <v>10.9</v>
      </c>
    </row>
    <row r="17" spans="1:7" ht="15" x14ac:dyDescent="0.25">
      <c r="A17" s="34" t="s">
        <v>134</v>
      </c>
      <c r="B17" s="41">
        <v>18.71</v>
      </c>
      <c r="C17" s="41">
        <v>19.399999999999999</v>
      </c>
      <c r="D17" s="42">
        <v>14.42</v>
      </c>
      <c r="E17" s="42">
        <v>14.26</v>
      </c>
      <c r="F17" s="42">
        <v>21.37</v>
      </c>
      <c r="G17" s="42">
        <v>21.14</v>
      </c>
    </row>
    <row r="18" spans="1:7" ht="15" x14ac:dyDescent="0.25">
      <c r="A18" s="34" t="s">
        <v>135</v>
      </c>
      <c r="B18" s="41">
        <v>20.32</v>
      </c>
      <c r="C18" s="41">
        <v>21.03</v>
      </c>
      <c r="D18" s="42">
        <v>19.239999999999998</v>
      </c>
      <c r="E18" s="42">
        <v>19.93</v>
      </c>
      <c r="F18" s="42">
        <v>19.8</v>
      </c>
      <c r="G18" s="42">
        <v>20.51</v>
      </c>
    </row>
    <row r="19" spans="1:7" ht="15" x14ac:dyDescent="0.25">
      <c r="A19" s="39" t="s">
        <v>136</v>
      </c>
      <c r="B19" s="41">
        <v>0.53</v>
      </c>
      <c r="C19" s="41">
        <v>0.59</v>
      </c>
      <c r="D19" s="42">
        <v>0.19</v>
      </c>
      <c r="E19" s="42">
        <v>0.19</v>
      </c>
      <c r="F19" s="42">
        <v>0.06</v>
      </c>
      <c r="G19" s="42">
        <v>0.06</v>
      </c>
    </row>
    <row r="20" spans="1:7" ht="15" x14ac:dyDescent="0.25">
      <c r="A20" s="39" t="s">
        <v>137</v>
      </c>
      <c r="B20" s="43">
        <v>0.06</v>
      </c>
      <c r="C20" s="43">
        <v>0.08</v>
      </c>
      <c r="D20" s="40">
        <v>0.06</v>
      </c>
      <c r="E20" s="40">
        <v>0.08</v>
      </c>
      <c r="F20" s="40">
        <v>0.05</v>
      </c>
      <c r="G20" s="40">
        <v>7.0000000000000007E-2</v>
      </c>
    </row>
    <row r="21" spans="1:7" ht="15" x14ac:dyDescent="0.25">
      <c r="A21" s="39" t="s">
        <v>138</v>
      </c>
      <c r="B21" s="43">
        <f>SUM(B13:B20)</f>
        <v>120.47</v>
      </c>
      <c r="C21" s="43">
        <f t="shared" ref="C21:G21" si="2">SUM(C13:C20)</f>
        <v>128.35000000000002</v>
      </c>
      <c r="D21" s="40">
        <f>SUM(D13:D20)</f>
        <v>115.49999999999999</v>
      </c>
      <c r="E21" s="40">
        <f t="shared" si="2"/>
        <v>124.03000000000002</v>
      </c>
      <c r="F21" s="40">
        <f>SUM(F13:F20)</f>
        <v>106.28</v>
      </c>
      <c r="G21" s="40">
        <f t="shared" si="2"/>
        <v>113.15</v>
      </c>
    </row>
    <row r="22" spans="1:7" ht="15" x14ac:dyDescent="0.25">
      <c r="A22" s="30"/>
      <c r="B22" s="44"/>
      <c r="C22" s="44"/>
      <c r="D22" s="42"/>
      <c r="E22" s="42"/>
      <c r="F22" s="42"/>
      <c r="G22" s="42"/>
    </row>
    <row r="23" spans="1:7" ht="15" x14ac:dyDescent="0.25">
      <c r="A23" s="39" t="s">
        <v>139</v>
      </c>
      <c r="B23" s="44"/>
      <c r="C23" s="44"/>
      <c r="D23" s="42"/>
      <c r="E23" s="42"/>
      <c r="F23" s="42"/>
      <c r="G23" s="42"/>
    </row>
    <row r="24" spans="1:7" ht="15" x14ac:dyDescent="0.25">
      <c r="A24" s="39" t="s">
        <v>140</v>
      </c>
      <c r="B24" s="41">
        <v>2.1</v>
      </c>
      <c r="C24" s="41">
        <v>2.13</v>
      </c>
      <c r="D24" s="42">
        <v>1.35</v>
      </c>
      <c r="E24" s="42">
        <v>1.4</v>
      </c>
      <c r="F24" s="42">
        <v>1.6</v>
      </c>
      <c r="G24" s="42">
        <v>1.67</v>
      </c>
    </row>
    <row r="25" spans="1:7" ht="15" x14ac:dyDescent="0.25">
      <c r="A25" s="39" t="s">
        <v>141</v>
      </c>
      <c r="B25" s="41">
        <v>16.36</v>
      </c>
      <c r="C25" s="41">
        <v>16.97</v>
      </c>
      <c r="D25" s="42">
        <v>13.82</v>
      </c>
      <c r="E25" s="42">
        <v>14.4</v>
      </c>
      <c r="F25" s="42">
        <v>17.149999999999999</v>
      </c>
      <c r="G25" s="42">
        <v>17.87</v>
      </c>
    </row>
    <row r="26" spans="1:7" ht="15" x14ac:dyDescent="0.25">
      <c r="A26" s="39" t="s">
        <v>142</v>
      </c>
      <c r="B26" s="41">
        <v>77.37</v>
      </c>
      <c r="C26" s="41">
        <v>80.81</v>
      </c>
      <c r="D26" s="42">
        <v>81.88</v>
      </c>
      <c r="E26" s="42">
        <v>85.57</v>
      </c>
      <c r="F26" s="42">
        <v>70.739999999999995</v>
      </c>
      <c r="G26" s="42">
        <v>73.930000000000007</v>
      </c>
    </row>
    <row r="27" spans="1:7" ht="15" x14ac:dyDescent="0.25">
      <c r="A27" s="39" t="s">
        <v>143</v>
      </c>
      <c r="B27" s="41">
        <v>52.13</v>
      </c>
      <c r="C27" s="41">
        <v>52.15</v>
      </c>
      <c r="D27" s="42">
        <v>44.03</v>
      </c>
      <c r="E27" s="42">
        <v>45.37</v>
      </c>
      <c r="F27" s="42">
        <v>40.4</v>
      </c>
      <c r="G27" s="42">
        <v>41.63</v>
      </c>
    </row>
    <row r="28" spans="1:7" ht="15" x14ac:dyDescent="0.25">
      <c r="A28" s="34" t="s">
        <v>144</v>
      </c>
      <c r="B28" s="41">
        <v>6.36</v>
      </c>
      <c r="C28" s="41">
        <v>6.43</v>
      </c>
      <c r="D28" s="42">
        <v>6.33</v>
      </c>
      <c r="E28" s="42">
        <v>6.48</v>
      </c>
      <c r="F28" s="42">
        <v>5.44</v>
      </c>
      <c r="G28" s="42">
        <v>5.56</v>
      </c>
    </row>
    <row r="29" spans="1:7" ht="15" x14ac:dyDescent="0.25">
      <c r="A29" s="39" t="s">
        <v>145</v>
      </c>
      <c r="B29" s="41">
        <v>10.83</v>
      </c>
      <c r="C29" s="41">
        <v>11.06</v>
      </c>
      <c r="D29" s="42">
        <v>9.98</v>
      </c>
      <c r="E29" s="42">
        <v>10.34</v>
      </c>
      <c r="F29" s="42">
        <v>9.67</v>
      </c>
      <c r="G29" s="42">
        <v>10.01</v>
      </c>
    </row>
    <row r="30" spans="1:7" ht="15" x14ac:dyDescent="0.25">
      <c r="A30" s="39" t="s">
        <v>146</v>
      </c>
      <c r="B30" s="43">
        <f>SUM(B24:B29)</f>
        <v>165.15000000000003</v>
      </c>
      <c r="C30" s="43">
        <f t="shared" ref="C30:G30" si="3">SUM(C24:C29)</f>
        <v>169.55</v>
      </c>
      <c r="D30" s="40">
        <f>SUM(D24:D29)</f>
        <v>157.38999999999999</v>
      </c>
      <c r="E30" s="40">
        <f t="shared" si="3"/>
        <v>163.55999999999997</v>
      </c>
      <c r="F30" s="40">
        <f>SUM(F24:F29)</f>
        <v>144.99999999999997</v>
      </c>
      <c r="G30" s="40">
        <f t="shared" si="3"/>
        <v>150.66999999999999</v>
      </c>
    </row>
    <row r="31" spans="1:7" ht="15" x14ac:dyDescent="0.25">
      <c r="A31" s="30"/>
      <c r="B31" s="43"/>
      <c r="C31" s="43"/>
      <c r="D31" s="40"/>
      <c r="E31" s="40"/>
      <c r="F31" s="40"/>
      <c r="G31" s="40"/>
    </row>
    <row r="32" spans="1:7" ht="15" x14ac:dyDescent="0.25">
      <c r="A32" s="39" t="s">
        <v>147</v>
      </c>
      <c r="B32" s="43">
        <f>B21+B30</f>
        <v>285.62</v>
      </c>
      <c r="C32" s="43">
        <f t="shared" ref="C32:G32" si="4">C21+C30</f>
        <v>297.90000000000003</v>
      </c>
      <c r="D32" s="40">
        <f>D21+D30</f>
        <v>272.89</v>
      </c>
      <c r="E32" s="40">
        <f t="shared" si="4"/>
        <v>287.58999999999997</v>
      </c>
      <c r="F32" s="40">
        <f>F21+F30</f>
        <v>251.27999999999997</v>
      </c>
      <c r="G32" s="40">
        <f t="shared" si="4"/>
        <v>263.82</v>
      </c>
    </row>
    <row r="33" spans="1:7" ht="15" x14ac:dyDescent="0.25">
      <c r="A33" s="30"/>
      <c r="B33" s="43"/>
      <c r="C33" s="43"/>
      <c r="D33" s="40"/>
      <c r="E33" s="40"/>
      <c r="F33" s="40"/>
      <c r="G33" s="40"/>
    </row>
    <row r="34" spans="1:7" ht="15" x14ac:dyDescent="0.25">
      <c r="A34" s="39" t="s">
        <v>148</v>
      </c>
      <c r="B34" s="43">
        <f>+B10-B32</f>
        <v>3.0300000000000296</v>
      </c>
      <c r="C34" s="43">
        <f t="shared" ref="C34:G34" si="5">+C10-C32</f>
        <v>46.92999999999995</v>
      </c>
      <c r="D34" s="40">
        <f>+D10-D32</f>
        <v>15.650000000000034</v>
      </c>
      <c r="E34" s="40">
        <f t="shared" si="5"/>
        <v>20.79000000000002</v>
      </c>
      <c r="F34" s="40">
        <f>+F10-F32</f>
        <v>-45.209999999999951</v>
      </c>
      <c r="G34" s="40">
        <f t="shared" si="5"/>
        <v>49.300000000000011</v>
      </c>
    </row>
    <row r="35" spans="1:7" ht="15" x14ac:dyDescent="0.25">
      <c r="A35" s="39" t="s">
        <v>149</v>
      </c>
      <c r="B35" s="43">
        <f>+B10-B21</f>
        <v>168.18000000000004</v>
      </c>
      <c r="C35" s="43">
        <f t="shared" ref="C35:G35" si="6">+C10-C21</f>
        <v>216.47999999999996</v>
      </c>
      <c r="D35" s="40">
        <f>+D10-D21</f>
        <v>173.04000000000002</v>
      </c>
      <c r="E35" s="40">
        <f t="shared" si="6"/>
        <v>184.34999999999997</v>
      </c>
      <c r="F35" s="40">
        <f>+F10-F21</f>
        <v>99.79000000000002</v>
      </c>
      <c r="G35" s="40">
        <f t="shared" si="6"/>
        <v>199.97</v>
      </c>
    </row>
    <row r="36" spans="1:7" ht="15" x14ac:dyDescent="0.25">
      <c r="A36" s="45"/>
      <c r="B36" s="46"/>
      <c r="C36" s="46"/>
      <c r="D36" s="47"/>
      <c r="E36" s="47"/>
      <c r="F36" s="47"/>
      <c r="G36" s="47"/>
    </row>
    <row r="37" spans="1:7" thickBot="1" x14ac:dyDescent="0.3">
      <c r="A37" s="31"/>
      <c r="B37" s="48"/>
      <c r="C37" s="48"/>
      <c r="D37" s="49"/>
      <c r="E37" s="49"/>
      <c r="F37" s="49"/>
      <c r="G37" s="49"/>
    </row>
    <row r="38" spans="1:7" ht="15" x14ac:dyDescent="0.25">
      <c r="A38" s="50" t="s">
        <v>150</v>
      </c>
      <c r="B38" s="51"/>
      <c r="C38" s="51"/>
      <c r="D38" s="52"/>
      <c r="E38" s="52"/>
      <c r="F38" s="52"/>
      <c r="G38" s="52"/>
    </row>
    <row r="39" spans="1:7" ht="15" x14ac:dyDescent="0.25">
      <c r="A39" s="39" t="s">
        <v>151</v>
      </c>
      <c r="B39" s="53">
        <v>38</v>
      </c>
      <c r="C39" s="53">
        <v>44</v>
      </c>
      <c r="D39" s="53">
        <v>36</v>
      </c>
      <c r="E39" s="53">
        <v>43</v>
      </c>
      <c r="F39" s="53">
        <v>27</v>
      </c>
      <c r="G39" s="53">
        <v>37</v>
      </c>
    </row>
    <row r="40" spans="1:7" ht="15" x14ac:dyDescent="0.25">
      <c r="A40" s="39" t="s">
        <v>152</v>
      </c>
      <c r="B40" s="41">
        <v>7.35</v>
      </c>
      <c r="C40" s="41">
        <v>7.59</v>
      </c>
      <c r="D40" s="42">
        <v>7.92</v>
      </c>
      <c r="E40" s="42">
        <v>7.08</v>
      </c>
      <c r="F40" s="42">
        <v>7.07</v>
      </c>
      <c r="G40" s="42">
        <v>7.99</v>
      </c>
    </row>
    <row r="41" spans="1:7" ht="15" x14ac:dyDescent="0.25">
      <c r="A41" s="28" t="s">
        <v>153</v>
      </c>
      <c r="B41" s="54">
        <v>443</v>
      </c>
      <c r="C41" s="54">
        <v>443</v>
      </c>
      <c r="D41" s="54">
        <v>741</v>
      </c>
      <c r="E41" s="54">
        <v>741</v>
      </c>
      <c r="F41" s="54">
        <v>460</v>
      </c>
      <c r="G41" s="54">
        <v>460</v>
      </c>
    </row>
    <row r="42" spans="1:7" ht="15" x14ac:dyDescent="0.25">
      <c r="A42" s="55" t="s">
        <v>154</v>
      </c>
      <c r="B42" s="29"/>
      <c r="C42" s="29"/>
      <c r="D42" s="30"/>
      <c r="E42" s="30"/>
      <c r="F42" s="30"/>
      <c r="G42" s="30"/>
    </row>
    <row r="43" spans="1:7" ht="15" x14ac:dyDescent="0.25">
      <c r="A43" s="55" t="s">
        <v>155</v>
      </c>
      <c r="B43" s="56">
        <v>69</v>
      </c>
      <c r="C43" s="56">
        <v>69</v>
      </c>
      <c r="D43" s="56">
        <v>28</v>
      </c>
      <c r="E43" s="56">
        <v>28</v>
      </c>
      <c r="F43" s="56">
        <v>100</v>
      </c>
      <c r="G43" s="56">
        <v>100</v>
      </c>
    </row>
    <row r="44" spans="1:7" ht="15" x14ac:dyDescent="0.25">
      <c r="A44" s="39" t="s">
        <v>156</v>
      </c>
      <c r="B44" s="56">
        <v>26</v>
      </c>
      <c r="C44" s="56">
        <v>26</v>
      </c>
      <c r="D44" s="56">
        <v>60</v>
      </c>
      <c r="E44" s="56">
        <v>60</v>
      </c>
      <c r="F44" s="56">
        <v>0</v>
      </c>
      <c r="G44" s="56">
        <v>0</v>
      </c>
    </row>
    <row r="45" spans="1:7" ht="15" x14ac:dyDescent="0.25">
      <c r="A45" s="39" t="s">
        <v>157</v>
      </c>
      <c r="B45" s="56">
        <v>4</v>
      </c>
      <c r="C45" s="56">
        <v>4</v>
      </c>
      <c r="D45" s="56">
        <v>12</v>
      </c>
      <c r="E45" s="56">
        <v>12</v>
      </c>
      <c r="F45" s="56">
        <v>0</v>
      </c>
      <c r="G45" s="56">
        <v>0</v>
      </c>
    </row>
    <row r="46" spans="1:7" ht="15" x14ac:dyDescent="0.25">
      <c r="A46" s="39" t="s">
        <v>158</v>
      </c>
      <c r="B46" s="56">
        <v>5</v>
      </c>
      <c r="C46" s="56">
        <v>5</v>
      </c>
      <c r="D46" s="56">
        <v>1</v>
      </c>
      <c r="E46" s="56">
        <v>1</v>
      </c>
      <c r="F46" s="56">
        <v>6</v>
      </c>
      <c r="G46" s="56">
        <v>6</v>
      </c>
    </row>
    <row r="47" spans="1:7" ht="15" x14ac:dyDescent="0.25">
      <c r="A47" s="28" t="s">
        <v>159</v>
      </c>
      <c r="B47" s="54">
        <v>95</v>
      </c>
      <c r="C47" s="54">
        <v>95</v>
      </c>
      <c r="D47" s="54">
        <v>99</v>
      </c>
      <c r="E47" s="54">
        <v>99</v>
      </c>
      <c r="F47" s="54">
        <v>94</v>
      </c>
      <c r="G47" s="54">
        <v>94</v>
      </c>
    </row>
    <row r="48" spans="1:7" thickBot="1" x14ac:dyDescent="0.3">
      <c r="A48" s="31"/>
      <c r="B48" s="48"/>
      <c r="C48" s="48"/>
      <c r="D48" s="49"/>
      <c r="E48" s="49"/>
      <c r="F48" s="49"/>
      <c r="G48" s="49"/>
    </row>
    <row r="49" spans="1:7" ht="15" x14ac:dyDescent="0.25">
      <c r="A49" s="57" t="s">
        <v>160</v>
      </c>
      <c r="B49" s="29"/>
      <c r="C49" s="29"/>
      <c r="D49" s="30"/>
      <c r="E49" s="30"/>
      <c r="F49" s="30"/>
      <c r="G49" s="30"/>
    </row>
    <row r="50" spans="1:7" ht="15" x14ac:dyDescent="0.25">
      <c r="A50" s="57" t="s">
        <v>161</v>
      </c>
      <c r="B50" s="30"/>
      <c r="C50" s="58"/>
      <c r="D50" s="58"/>
      <c r="E50" s="59"/>
      <c r="F50" s="59"/>
      <c r="G50" s="59"/>
    </row>
    <row r="51" spans="1:7" ht="15" x14ac:dyDescent="0.25">
      <c r="A51" s="30"/>
      <c r="B51" s="30"/>
      <c r="C51" s="29"/>
      <c r="D51" s="29"/>
      <c r="E51" s="30"/>
      <c r="F51" s="30"/>
      <c r="G51" s="30"/>
    </row>
    <row r="52" spans="1:7" ht="15" x14ac:dyDescent="0.25">
      <c r="A52" s="30"/>
      <c r="B52" s="29"/>
      <c r="C52" s="29"/>
      <c r="D52" s="29"/>
      <c r="E52" s="30"/>
      <c r="F52" s="30"/>
      <c r="G52" s="30"/>
    </row>
    <row r="53" spans="1:7" ht="15" x14ac:dyDescent="0.25">
      <c r="A53" s="60"/>
      <c r="B53" s="38"/>
      <c r="C53" s="38"/>
      <c r="D53" s="38"/>
      <c r="E53" s="61"/>
      <c r="F53" s="61"/>
      <c r="G53" s="61"/>
    </row>
    <row r="54" spans="1:7" ht="15" x14ac:dyDescent="0.25">
      <c r="A54" s="62"/>
      <c r="B54" s="63"/>
      <c r="C54" s="64"/>
      <c r="D54" s="63"/>
      <c r="E54" s="64"/>
      <c r="F54" s="63"/>
      <c r="G54" s="63"/>
    </row>
    <row r="55" spans="1:7" ht="15" x14ac:dyDescent="0.25">
      <c r="A55" s="65"/>
      <c r="B55" s="66"/>
      <c r="C55" s="67"/>
      <c r="D55" s="66"/>
      <c r="E55" s="67"/>
      <c r="F55" s="66"/>
      <c r="G55" s="66"/>
    </row>
    <row r="56" spans="1:7" ht="15" x14ac:dyDescent="0.25">
      <c r="A56" s="65"/>
      <c r="B56" s="66"/>
      <c r="C56" s="67"/>
      <c r="D56" s="66"/>
      <c r="E56" s="67"/>
      <c r="F56" s="66"/>
      <c r="G56" s="66"/>
    </row>
    <row r="57" spans="1:7" ht="15" x14ac:dyDescent="0.25">
      <c r="A57" s="65"/>
      <c r="B57" s="68"/>
      <c r="C57" s="69"/>
      <c r="D57" s="68"/>
      <c r="E57" s="70"/>
      <c r="F57" s="71"/>
      <c r="G57" s="71"/>
    </row>
    <row r="58" spans="1:7" ht="15" x14ac:dyDescent="0.25">
      <c r="A58" s="65"/>
      <c r="B58" s="66"/>
      <c r="C58" s="67"/>
      <c r="D58" s="66"/>
      <c r="E58" s="72"/>
      <c r="F58" s="73"/>
      <c r="G58" s="73"/>
    </row>
    <row r="59" spans="1:7" ht="15" x14ac:dyDescent="0.25">
      <c r="A59" s="74"/>
      <c r="B59" s="66"/>
      <c r="C59" s="67"/>
      <c r="D59" s="66"/>
      <c r="E59" s="72"/>
      <c r="F59" s="73"/>
      <c r="G59" s="73"/>
    </row>
    <row r="60" spans="1:7" ht="15" x14ac:dyDescent="0.25">
      <c r="A60" s="65"/>
      <c r="B60" s="68"/>
      <c r="C60" s="69"/>
      <c r="D60" s="68"/>
      <c r="E60" s="70"/>
      <c r="F60" s="71"/>
      <c r="G60" s="71"/>
    </row>
    <row r="61" spans="1:7" ht="15" x14ac:dyDescent="0.25">
      <c r="A61" s="65"/>
      <c r="B61" s="66"/>
      <c r="C61" s="67"/>
      <c r="D61" s="66"/>
      <c r="E61" s="72"/>
      <c r="F61" s="73"/>
      <c r="G61" s="73"/>
    </row>
    <row r="62" spans="1:7" ht="15" x14ac:dyDescent="0.25">
      <c r="A62" s="65"/>
      <c r="B62" s="66"/>
      <c r="C62" s="67"/>
      <c r="D62" s="66"/>
      <c r="E62" s="72"/>
      <c r="F62" s="73"/>
      <c r="G62" s="73"/>
    </row>
    <row r="63" spans="1:7" ht="15" x14ac:dyDescent="0.25">
      <c r="A63" s="65"/>
      <c r="B63" s="68"/>
      <c r="C63" s="69"/>
      <c r="D63" s="68"/>
      <c r="E63" s="70"/>
      <c r="F63" s="71"/>
      <c r="G63" s="71"/>
    </row>
    <row r="64" spans="1:7" ht="15" x14ac:dyDescent="0.25">
      <c r="A64" s="65"/>
      <c r="B64" s="66"/>
      <c r="C64" s="67"/>
      <c r="D64" s="66"/>
      <c r="E64" s="72"/>
      <c r="F64" s="73"/>
      <c r="G64" s="73"/>
    </row>
    <row r="65" spans="1:7" ht="15" x14ac:dyDescent="0.25">
      <c r="A65" s="65"/>
      <c r="B65" s="66"/>
      <c r="C65" s="67"/>
      <c r="D65" s="66"/>
      <c r="E65" s="72"/>
      <c r="F65" s="73"/>
      <c r="G65" s="73"/>
    </row>
    <row r="66" spans="1:7" ht="15" x14ac:dyDescent="0.25">
      <c r="A66" s="65"/>
      <c r="B66" s="68"/>
      <c r="C66" s="69"/>
      <c r="D66" s="68"/>
      <c r="E66" s="70"/>
      <c r="F66" s="71"/>
      <c r="G66" s="71"/>
    </row>
    <row r="67" spans="1:7" ht="15" x14ac:dyDescent="0.25">
      <c r="A67" s="65"/>
      <c r="B67" s="66"/>
      <c r="C67" s="67"/>
      <c r="D67" s="66"/>
      <c r="E67" s="72"/>
      <c r="F67" s="73"/>
      <c r="G67" s="73"/>
    </row>
    <row r="68" spans="1:7" ht="15" x14ac:dyDescent="0.25">
      <c r="A68" s="65"/>
      <c r="B68" s="66"/>
      <c r="C68" s="67"/>
      <c r="D68" s="66"/>
      <c r="E68" s="72"/>
      <c r="F68" s="73"/>
      <c r="G68" s="73"/>
    </row>
    <row r="69" spans="1:7" ht="15" x14ac:dyDescent="0.25">
      <c r="A69" s="65"/>
      <c r="B69" s="68"/>
      <c r="C69" s="69"/>
      <c r="D69" s="68"/>
      <c r="E69" s="70"/>
      <c r="F69" s="71"/>
      <c r="G69" s="71"/>
    </row>
    <row r="70" spans="1:7" ht="15" x14ac:dyDescent="0.25">
      <c r="A70" s="65"/>
      <c r="B70" s="66"/>
      <c r="C70" s="67"/>
      <c r="D70" s="66"/>
      <c r="E70" s="72"/>
      <c r="F70" s="73"/>
      <c r="G70" s="73"/>
    </row>
    <row r="71" spans="1:7" ht="15" x14ac:dyDescent="0.25">
      <c r="A71" s="65"/>
      <c r="B71" s="66"/>
      <c r="C71" s="67"/>
      <c r="D71" s="66"/>
      <c r="E71" s="72"/>
      <c r="F71" s="73"/>
      <c r="G71" s="73"/>
    </row>
    <row r="72" spans="1:7" ht="15" x14ac:dyDescent="0.25">
      <c r="A72" s="65"/>
      <c r="B72" s="68"/>
      <c r="C72" s="69"/>
      <c r="D72" s="68"/>
      <c r="E72" s="70"/>
      <c r="F72" s="71"/>
      <c r="G72" s="71"/>
    </row>
    <row r="73" spans="1:7" ht="15" x14ac:dyDescent="0.25">
      <c r="A73" s="65"/>
      <c r="B73" s="66"/>
      <c r="C73" s="67"/>
      <c r="D73" s="66"/>
      <c r="E73" s="72"/>
      <c r="F73" s="73"/>
      <c r="G73" s="73"/>
    </row>
    <row r="74" spans="1:7" ht="15" x14ac:dyDescent="0.25">
      <c r="A74" s="65"/>
      <c r="B74" s="66"/>
      <c r="C74" s="67"/>
      <c r="D74" s="66"/>
      <c r="E74" s="72"/>
      <c r="F74" s="73"/>
      <c r="G74" s="73"/>
    </row>
    <row r="75" spans="1:7" ht="15" x14ac:dyDescent="0.25">
      <c r="A75" s="65"/>
      <c r="B75" s="68"/>
      <c r="C75" s="69"/>
      <c r="D75" s="68"/>
      <c r="E75" s="70"/>
      <c r="F75" s="71"/>
      <c r="G75" s="71"/>
    </row>
    <row r="76" spans="1:7" ht="15" x14ac:dyDescent="0.25">
      <c r="A76" s="65"/>
      <c r="B76" s="66"/>
      <c r="C76" s="67"/>
      <c r="D76" s="66"/>
      <c r="E76" s="72"/>
      <c r="F76" s="73"/>
      <c r="G76" s="73"/>
    </row>
    <row r="77" spans="1:7" ht="15" x14ac:dyDescent="0.25">
      <c r="A77" s="65"/>
      <c r="B77" s="66"/>
      <c r="C77" s="67"/>
      <c r="D77" s="66"/>
      <c r="E77" s="72"/>
      <c r="F77" s="73"/>
      <c r="G77" s="73"/>
    </row>
    <row r="78" spans="1:7" ht="15" x14ac:dyDescent="0.25">
      <c r="A78" s="65"/>
      <c r="B78" s="68"/>
      <c r="C78" s="69"/>
      <c r="D78" s="68"/>
      <c r="E78" s="70"/>
      <c r="F78" s="71"/>
      <c r="G78" s="71"/>
    </row>
    <row r="79" spans="1:7" ht="15" x14ac:dyDescent="0.25">
      <c r="A79" s="65"/>
      <c r="B79" s="66"/>
      <c r="C79" s="67"/>
      <c r="D79" s="66"/>
      <c r="E79" s="72"/>
      <c r="F79" s="73"/>
      <c r="G79" s="73"/>
    </row>
    <row r="80" spans="1:7" ht="15" x14ac:dyDescent="0.25">
      <c r="A80" s="74"/>
      <c r="B80" s="66"/>
      <c r="C80" s="67"/>
      <c r="D80" s="66"/>
      <c r="E80" s="72"/>
      <c r="F80" s="73"/>
      <c r="G80" s="73"/>
    </row>
    <row r="81" spans="1:7" ht="15" x14ac:dyDescent="0.25">
      <c r="A81" s="65"/>
      <c r="B81" s="68"/>
      <c r="C81" s="69"/>
      <c r="D81" s="68"/>
      <c r="E81" s="70"/>
      <c r="F81" s="71"/>
      <c r="G81" s="71"/>
    </row>
    <row r="82" spans="1:7" ht="15" x14ac:dyDescent="0.25">
      <c r="A82" s="65"/>
      <c r="B82" s="66"/>
      <c r="C82" s="67"/>
      <c r="D82" s="66"/>
      <c r="E82" s="72"/>
      <c r="F82" s="73"/>
      <c r="G82" s="73"/>
    </row>
    <row r="83" spans="1:7" ht="15" x14ac:dyDescent="0.25">
      <c r="A83" s="65"/>
      <c r="B83" s="66"/>
      <c r="C83" s="67"/>
      <c r="D83" s="66"/>
      <c r="E83" s="72"/>
      <c r="F83" s="73"/>
      <c r="G83" s="73"/>
    </row>
    <row r="84" spans="1:7" ht="15" x14ac:dyDescent="0.25">
      <c r="A84" s="65"/>
      <c r="B84" s="68"/>
      <c r="C84" s="69"/>
      <c r="D84" s="68"/>
      <c r="E84" s="70"/>
      <c r="F84" s="71"/>
      <c r="G84" s="71"/>
    </row>
    <row r="85" spans="1:7" ht="15" x14ac:dyDescent="0.25">
      <c r="A85" s="65"/>
      <c r="B85" s="66"/>
      <c r="C85" s="67"/>
      <c r="D85" s="66"/>
      <c r="E85" s="72"/>
      <c r="F85" s="73"/>
      <c r="G85" s="73"/>
    </row>
    <row r="86" spans="1:7" ht="15" x14ac:dyDescent="0.25">
      <c r="A86" s="65"/>
      <c r="B86" s="66"/>
      <c r="C86" s="67"/>
      <c r="D86" s="66"/>
      <c r="E86" s="72"/>
      <c r="F86" s="73"/>
      <c r="G86" s="73"/>
    </row>
    <row r="87" spans="1:7" ht="15" x14ac:dyDescent="0.25">
      <c r="A87" s="65"/>
      <c r="B87" s="68"/>
      <c r="C87" s="69"/>
      <c r="D87" s="68"/>
      <c r="E87" s="70"/>
      <c r="F87" s="71"/>
      <c r="G87" s="71"/>
    </row>
    <row r="88" spans="1:7" ht="15" x14ac:dyDescent="0.25">
      <c r="A88" s="65"/>
      <c r="B88" s="66"/>
      <c r="C88" s="67"/>
      <c r="D88" s="66"/>
      <c r="E88" s="72"/>
      <c r="F88" s="73"/>
      <c r="G88" s="73"/>
    </row>
    <row r="89" spans="1:7" ht="15" x14ac:dyDescent="0.25">
      <c r="A89" s="74"/>
      <c r="B89" s="66"/>
      <c r="C89" s="67"/>
      <c r="D89" s="66"/>
      <c r="E89" s="72"/>
      <c r="F89" s="73"/>
      <c r="G89" s="73"/>
    </row>
    <row r="90" spans="1:7" ht="15" x14ac:dyDescent="0.25">
      <c r="A90" s="65"/>
      <c r="B90" s="68"/>
      <c r="C90" s="69"/>
      <c r="D90" s="68"/>
      <c r="E90" s="70"/>
      <c r="F90" s="71"/>
      <c r="G90" s="71"/>
    </row>
    <row r="91" spans="1:7" ht="15" x14ac:dyDescent="0.25">
      <c r="A91" s="65"/>
      <c r="B91" s="66"/>
      <c r="C91" s="67"/>
      <c r="D91" s="66"/>
      <c r="E91" s="72"/>
      <c r="F91" s="73"/>
      <c r="G91" s="73"/>
    </row>
    <row r="92" spans="1:7" ht="15" x14ac:dyDescent="0.25">
      <c r="A92" s="65"/>
      <c r="B92" s="66"/>
      <c r="C92" s="67"/>
      <c r="D92" s="66"/>
      <c r="E92" s="72"/>
      <c r="F92" s="73"/>
      <c r="G92" s="73"/>
    </row>
    <row r="93" spans="1:7" ht="15" x14ac:dyDescent="0.25">
      <c r="A93" s="65"/>
      <c r="B93" s="68"/>
      <c r="C93" s="69"/>
      <c r="D93" s="68"/>
      <c r="E93" s="70"/>
      <c r="F93" s="71"/>
      <c r="G93" s="71"/>
    </row>
    <row r="94" spans="1:7" ht="15" x14ac:dyDescent="0.25">
      <c r="A94" s="65"/>
      <c r="B94" s="66"/>
      <c r="C94" s="67"/>
      <c r="D94" s="66"/>
      <c r="E94" s="72"/>
      <c r="F94" s="73"/>
      <c r="G94" s="73"/>
    </row>
    <row r="95" spans="1:7" ht="15" x14ac:dyDescent="0.25">
      <c r="A95" s="65"/>
      <c r="B95" s="66"/>
      <c r="C95" s="67"/>
      <c r="D95" s="66"/>
      <c r="E95" s="72"/>
      <c r="F95" s="73"/>
      <c r="G95" s="73"/>
    </row>
    <row r="96" spans="1:7" ht="15" x14ac:dyDescent="0.25">
      <c r="A96" s="65"/>
      <c r="B96" s="68"/>
      <c r="C96" s="69"/>
      <c r="D96" s="68"/>
      <c r="E96" s="70"/>
      <c r="F96" s="71"/>
      <c r="G96" s="71"/>
    </row>
    <row r="97" spans="1:7" ht="15" x14ac:dyDescent="0.25">
      <c r="A97" s="65"/>
      <c r="B97" s="66"/>
      <c r="C97" s="67"/>
      <c r="D97" s="66"/>
      <c r="E97" s="72"/>
      <c r="F97" s="73"/>
      <c r="G97" s="73"/>
    </row>
    <row r="98" spans="1:7" ht="15" x14ac:dyDescent="0.25">
      <c r="A98" s="65"/>
      <c r="B98" s="66"/>
      <c r="C98" s="67"/>
      <c r="D98" s="66"/>
      <c r="E98" s="72"/>
      <c r="F98" s="73"/>
      <c r="G98" s="73"/>
    </row>
    <row r="99" spans="1:7" ht="15" x14ac:dyDescent="0.25">
      <c r="A99" s="65"/>
      <c r="B99" s="75"/>
      <c r="C99" s="76"/>
      <c r="D99" s="75"/>
      <c r="E99" s="77"/>
      <c r="F99" s="78"/>
      <c r="G99" s="78"/>
    </row>
    <row r="100" spans="1:7" ht="15" x14ac:dyDescent="0.25">
      <c r="A100" s="65"/>
      <c r="B100" s="66"/>
      <c r="C100" s="67"/>
      <c r="D100" s="66"/>
      <c r="E100" s="72"/>
      <c r="F100" s="73"/>
      <c r="G100" s="73"/>
    </row>
    <row r="101" spans="1:7" ht="15" x14ac:dyDescent="0.25">
      <c r="A101" s="65"/>
      <c r="B101" s="66"/>
      <c r="C101" s="67"/>
      <c r="D101" s="66"/>
      <c r="E101" s="72"/>
      <c r="F101" s="73"/>
      <c r="G101" s="73"/>
    </row>
    <row r="102" spans="1:7" ht="15" x14ac:dyDescent="0.25">
      <c r="A102" s="65"/>
      <c r="B102" s="68"/>
      <c r="C102" s="69"/>
      <c r="D102" s="68"/>
      <c r="E102" s="70"/>
      <c r="F102" s="71"/>
      <c r="G102" s="71"/>
    </row>
    <row r="104" spans="1:7" ht="15" x14ac:dyDescent="0.25">
      <c r="A104" s="74"/>
      <c r="B104" s="66"/>
      <c r="C104" s="67"/>
      <c r="D104" s="66"/>
      <c r="E104" s="72"/>
      <c r="F104" s="73"/>
      <c r="G104" s="73"/>
    </row>
    <row r="105" spans="1:7" ht="15" x14ac:dyDescent="0.25">
      <c r="A105" s="74"/>
      <c r="B105" s="66"/>
      <c r="C105" s="67"/>
      <c r="D105" s="66"/>
      <c r="E105" s="72"/>
      <c r="F105" s="73"/>
      <c r="G105" s="73"/>
    </row>
    <row r="106" spans="1:7" ht="15" x14ac:dyDescent="0.25">
      <c r="A106" s="74"/>
      <c r="B106" s="66"/>
      <c r="C106" s="67"/>
      <c r="D106" s="66"/>
      <c r="E106" s="72"/>
      <c r="F106" s="73"/>
      <c r="G106" s="73"/>
    </row>
    <row r="107" spans="1:7" ht="15" x14ac:dyDescent="0.25">
      <c r="A107" s="74"/>
      <c r="B107" s="84"/>
      <c r="C107" s="85"/>
      <c r="D107" s="84"/>
      <c r="E107" s="86"/>
      <c r="F107" s="87"/>
      <c r="G107" s="87"/>
    </row>
    <row r="108" spans="1:7" ht="15" x14ac:dyDescent="0.25">
      <c r="A108" s="74"/>
      <c r="B108" s="75"/>
      <c r="C108" s="76"/>
      <c r="D108" s="75"/>
      <c r="E108" s="77"/>
      <c r="F108" s="78"/>
      <c r="G108" s="78"/>
    </row>
    <row r="109" spans="1:7" x14ac:dyDescent="0.25">
      <c r="A109" s="88"/>
      <c r="B109" s="89"/>
      <c r="C109" s="90"/>
      <c r="D109" s="89"/>
      <c r="E109" s="91"/>
      <c r="F109" s="92"/>
      <c r="G109" s="92"/>
    </row>
    <row r="110" spans="1:7" x14ac:dyDescent="0.25">
      <c r="A110" s="93"/>
    </row>
    <row r="111" spans="1:7" x14ac:dyDescent="0.25">
      <c r="A111" s="94"/>
      <c r="B111" s="124"/>
      <c r="C111" s="124"/>
      <c r="D111" s="95"/>
      <c r="E111" s="124"/>
      <c r="F111" s="124"/>
      <c r="G111" s="95"/>
    </row>
    <row r="112" spans="1:7" ht="15" x14ac:dyDescent="0.25">
      <c r="A112" s="62"/>
      <c r="B112" s="63"/>
      <c r="C112" s="64"/>
      <c r="D112" s="63"/>
      <c r="E112" s="64"/>
      <c r="F112" s="63"/>
      <c r="G112" s="63"/>
    </row>
    <row r="113" spans="1:7" ht="15" x14ac:dyDescent="0.25">
      <c r="A113" s="65"/>
      <c r="B113" s="68"/>
      <c r="C113" s="69"/>
      <c r="D113" s="68"/>
      <c r="E113" s="70"/>
      <c r="F113" s="71"/>
      <c r="G113" s="71"/>
    </row>
    <row r="114" spans="1:7" ht="15" x14ac:dyDescent="0.25">
      <c r="A114" s="65"/>
      <c r="B114" s="68"/>
      <c r="C114" s="69"/>
      <c r="D114" s="68"/>
      <c r="E114" s="70"/>
      <c r="F114" s="71"/>
      <c r="G114" s="71"/>
    </row>
    <row r="115" spans="1:7" ht="15" x14ac:dyDescent="0.25">
      <c r="A115" s="65"/>
      <c r="B115" s="68"/>
      <c r="C115" s="69"/>
      <c r="D115" s="68"/>
      <c r="E115" s="70"/>
      <c r="F115" s="71"/>
      <c r="G115" s="71"/>
    </row>
    <row r="116" spans="1:7" ht="15" x14ac:dyDescent="0.25">
      <c r="A116" s="65"/>
      <c r="B116" s="68"/>
      <c r="C116" s="69"/>
      <c r="D116" s="68"/>
      <c r="E116" s="70"/>
      <c r="F116" s="71"/>
      <c r="G116" s="71"/>
    </row>
    <row r="117" spans="1:7" ht="15" x14ac:dyDescent="0.25">
      <c r="A117" s="65"/>
      <c r="B117" s="68"/>
      <c r="C117" s="69"/>
      <c r="D117" s="68"/>
      <c r="E117" s="70"/>
      <c r="F117" s="71"/>
      <c r="G117" s="71"/>
    </row>
    <row r="118" spans="1:7" ht="15" x14ac:dyDescent="0.25">
      <c r="A118" s="65"/>
      <c r="B118" s="68"/>
      <c r="C118" s="69"/>
      <c r="D118" s="68"/>
      <c r="E118" s="70"/>
      <c r="F118" s="71"/>
      <c r="G118" s="71"/>
    </row>
    <row r="119" spans="1:7" ht="15" x14ac:dyDescent="0.25">
      <c r="A119" s="65"/>
      <c r="B119" s="68"/>
      <c r="C119" s="69"/>
      <c r="D119" s="68"/>
      <c r="E119" s="70"/>
      <c r="F119" s="71"/>
      <c r="G119" s="71"/>
    </row>
    <row r="120" spans="1:7" ht="15" x14ac:dyDescent="0.25">
      <c r="A120" s="65"/>
      <c r="B120" s="68"/>
      <c r="C120" s="69"/>
      <c r="D120" s="68"/>
      <c r="E120" s="70"/>
      <c r="F120" s="71"/>
      <c r="G120" s="71"/>
    </row>
    <row r="121" spans="1:7" ht="15" x14ac:dyDescent="0.25">
      <c r="A121" s="65"/>
      <c r="B121" s="68"/>
      <c r="C121" s="69"/>
      <c r="D121" s="68"/>
      <c r="E121" s="70"/>
      <c r="F121" s="71"/>
      <c r="G121" s="71"/>
    </row>
    <row r="122" spans="1:7" ht="15" x14ac:dyDescent="0.25">
      <c r="A122" s="65"/>
      <c r="B122" s="68"/>
      <c r="C122" s="69"/>
      <c r="D122" s="68"/>
      <c r="E122" s="70"/>
      <c r="F122" s="71"/>
      <c r="G122" s="71"/>
    </row>
    <row r="123" spans="1:7" ht="15" x14ac:dyDescent="0.25">
      <c r="A123" s="65"/>
      <c r="B123" s="68"/>
      <c r="C123" s="69"/>
      <c r="D123" s="68"/>
      <c r="E123" s="70"/>
      <c r="F123" s="71"/>
      <c r="G123" s="71"/>
    </row>
    <row r="124" spans="1:7" ht="15" x14ac:dyDescent="0.25">
      <c r="A124" s="65"/>
      <c r="B124" s="68"/>
      <c r="C124" s="69"/>
      <c r="D124" s="68"/>
      <c r="E124" s="70"/>
      <c r="F124" s="71"/>
      <c r="G124" s="71"/>
    </row>
    <row r="125" spans="1:7" ht="15" x14ac:dyDescent="0.25">
      <c r="A125" s="65"/>
      <c r="B125" s="68"/>
      <c r="C125" s="69"/>
      <c r="D125" s="68"/>
      <c r="E125" s="70"/>
      <c r="F125" s="71"/>
      <c r="G125" s="71"/>
    </row>
    <row r="126" spans="1:7" ht="15" x14ac:dyDescent="0.25">
      <c r="A126" s="65"/>
      <c r="B126" s="68"/>
      <c r="C126" s="69"/>
      <c r="D126" s="68"/>
      <c r="E126" s="70"/>
      <c r="F126" s="71"/>
      <c r="G126" s="71"/>
    </row>
    <row r="127" spans="1:7" ht="15" x14ac:dyDescent="0.25">
      <c r="A127" s="65"/>
      <c r="B127" s="68"/>
      <c r="C127" s="69"/>
      <c r="D127" s="68"/>
      <c r="E127" s="70"/>
      <c r="F127" s="71"/>
      <c r="G127" s="71"/>
    </row>
    <row r="128" spans="1:7" ht="15" x14ac:dyDescent="0.25">
      <c r="A128" s="65"/>
      <c r="B128" s="68"/>
      <c r="C128" s="69"/>
      <c r="D128" s="68"/>
      <c r="E128" s="70"/>
      <c r="F128" s="71"/>
      <c r="G128" s="71"/>
    </row>
    <row r="129" spans="1:7" ht="15" x14ac:dyDescent="0.25">
      <c r="A129" s="74"/>
      <c r="B129" s="68"/>
      <c r="C129" s="69"/>
      <c r="D129" s="68"/>
      <c r="E129" s="70"/>
      <c r="F129" s="71"/>
      <c r="G129" s="71"/>
    </row>
    <row r="130" spans="1:7" ht="15" x14ac:dyDescent="0.25">
      <c r="A130" s="65"/>
      <c r="B130" s="68"/>
      <c r="C130" s="69"/>
      <c r="D130" s="68"/>
      <c r="E130" s="70"/>
      <c r="F130" s="71"/>
      <c r="G130" s="71"/>
    </row>
    <row r="131" spans="1:7" ht="15" x14ac:dyDescent="0.25">
      <c r="A131" s="62"/>
      <c r="B131" s="63"/>
      <c r="C131" s="64"/>
      <c r="D131" s="63"/>
      <c r="E131" s="64"/>
      <c r="F131" s="63"/>
      <c r="G131" s="63"/>
    </row>
    <row r="132" spans="1:7" ht="15" x14ac:dyDescent="0.25">
      <c r="A132" s="65"/>
      <c r="B132" s="96"/>
      <c r="C132" s="97"/>
      <c r="D132" s="96"/>
      <c r="E132" s="77"/>
      <c r="F132" s="78"/>
      <c r="G132" s="78"/>
    </row>
    <row r="133" spans="1:7" ht="15" x14ac:dyDescent="0.25">
      <c r="A133" s="65"/>
      <c r="B133" s="75"/>
      <c r="C133" s="76"/>
      <c r="D133" s="75"/>
      <c r="E133" s="98"/>
      <c r="F133" s="99"/>
      <c r="G133" s="99"/>
    </row>
    <row r="134" spans="1:7" ht="15" x14ac:dyDescent="0.25">
      <c r="A134" s="65"/>
      <c r="B134" s="75"/>
      <c r="C134" s="76"/>
      <c r="D134" s="75"/>
      <c r="E134" s="77"/>
      <c r="F134" s="78"/>
      <c r="G134" s="78"/>
    </row>
    <row r="135" spans="1:7" ht="15" x14ac:dyDescent="0.25">
      <c r="A135" s="65"/>
      <c r="B135" s="96"/>
      <c r="C135" s="97"/>
      <c r="D135" s="96"/>
      <c r="E135" s="77"/>
      <c r="F135" s="78"/>
      <c r="G135" s="78"/>
    </row>
    <row r="136" spans="1:7" ht="15" x14ac:dyDescent="0.25">
      <c r="A136" s="65"/>
      <c r="B136" s="75"/>
      <c r="C136" s="76"/>
      <c r="D136" s="75"/>
      <c r="E136" s="77"/>
      <c r="F136" s="78"/>
      <c r="G136" s="78"/>
    </row>
    <row r="137" spans="1:7" ht="15" x14ac:dyDescent="0.25">
      <c r="A137" s="65"/>
      <c r="B137" s="75"/>
      <c r="C137" s="76"/>
      <c r="D137" s="75"/>
      <c r="E137" s="77"/>
      <c r="F137" s="78"/>
      <c r="G137" s="78"/>
    </row>
    <row r="138" spans="1:7" ht="15" x14ac:dyDescent="0.25">
      <c r="A138" s="65"/>
      <c r="B138" s="75"/>
      <c r="C138" s="76"/>
      <c r="D138" s="75"/>
      <c r="E138" s="77"/>
      <c r="F138" s="78"/>
      <c r="G138" s="78"/>
    </row>
    <row r="139" spans="1:7" ht="15" x14ac:dyDescent="0.25">
      <c r="A139" s="65"/>
      <c r="B139" s="75"/>
      <c r="C139" s="76"/>
      <c r="D139" s="75"/>
      <c r="E139" s="77"/>
      <c r="F139" s="78"/>
      <c r="G139" s="78"/>
    </row>
    <row r="140" spans="1:7" ht="15" x14ac:dyDescent="0.25">
      <c r="A140" s="65"/>
      <c r="B140" s="96"/>
      <c r="C140" s="97"/>
      <c r="D140" s="96"/>
      <c r="E140" s="77"/>
      <c r="F140" s="78"/>
      <c r="G140" s="78"/>
    </row>
    <row r="141" spans="1:7" ht="15" x14ac:dyDescent="0.25">
      <c r="A141" s="65"/>
      <c r="B141" s="75"/>
      <c r="C141" s="76"/>
      <c r="D141" s="75"/>
      <c r="E141" s="77"/>
      <c r="F141" s="78"/>
      <c r="G141" s="78"/>
    </row>
    <row r="142" spans="1:7" ht="15" x14ac:dyDescent="0.25">
      <c r="A142" s="65"/>
      <c r="B142" s="75"/>
      <c r="C142" s="76"/>
      <c r="D142" s="75"/>
      <c r="E142" s="77"/>
      <c r="F142" s="78"/>
      <c r="G142" s="78"/>
    </row>
    <row r="143" spans="1:7" ht="15" x14ac:dyDescent="0.25">
      <c r="A143" s="65"/>
      <c r="B143" s="96"/>
      <c r="C143" s="97"/>
      <c r="D143" s="96"/>
      <c r="E143" s="77"/>
      <c r="F143" s="78"/>
      <c r="G143" s="78"/>
    </row>
    <row r="144" spans="1:7" ht="15" x14ac:dyDescent="0.25">
      <c r="A144" s="65"/>
      <c r="B144" s="75"/>
      <c r="C144" s="76"/>
      <c r="D144" s="75"/>
      <c r="E144" s="98"/>
      <c r="F144" s="99"/>
      <c r="G144" s="99"/>
    </row>
    <row r="145" spans="1:7" ht="15" x14ac:dyDescent="0.25">
      <c r="A145" s="65"/>
      <c r="B145" s="75"/>
      <c r="C145" s="76"/>
      <c r="D145" s="75"/>
      <c r="E145" s="77"/>
      <c r="F145" s="78"/>
      <c r="G145" s="78"/>
    </row>
    <row r="146" spans="1:7" ht="15" x14ac:dyDescent="0.25">
      <c r="A146" s="65"/>
      <c r="B146" s="96"/>
      <c r="C146" s="97"/>
      <c r="D146" s="96"/>
      <c r="E146" s="77"/>
      <c r="F146" s="78"/>
      <c r="G146" s="78"/>
    </row>
    <row r="147" spans="1:7" ht="15" x14ac:dyDescent="0.25">
      <c r="A147" s="65"/>
      <c r="B147" s="75"/>
      <c r="C147" s="76"/>
      <c r="D147" s="75"/>
      <c r="E147" s="98"/>
      <c r="F147" s="99"/>
      <c r="G147" s="99"/>
    </row>
    <row r="148" spans="1:7" ht="15" x14ac:dyDescent="0.25">
      <c r="A148" s="88"/>
      <c r="B148" s="96"/>
      <c r="C148" s="97"/>
      <c r="D148" s="96"/>
      <c r="E148" s="98"/>
      <c r="F148" s="99"/>
      <c r="G148" s="99"/>
    </row>
    <row r="151" spans="1:7" ht="15" x14ac:dyDescent="0.25">
      <c r="A151" s="62"/>
      <c r="B151" s="63"/>
      <c r="C151" s="64"/>
      <c r="D151" s="63"/>
      <c r="E151" s="70"/>
      <c r="F151" s="71"/>
      <c r="G151" s="71"/>
    </row>
    <row r="152" spans="1:7" ht="15" x14ac:dyDescent="0.25">
      <c r="A152" s="65"/>
      <c r="B152" s="68"/>
      <c r="C152" s="69"/>
      <c r="D152" s="68"/>
      <c r="E152" s="100"/>
      <c r="F152" s="101"/>
      <c r="G152" s="101"/>
    </row>
    <row r="153" spans="1:7" ht="15" x14ac:dyDescent="0.25">
      <c r="A153" s="65"/>
      <c r="B153" s="75"/>
      <c r="C153" s="76"/>
      <c r="D153" s="75"/>
      <c r="E153" s="100"/>
      <c r="F153" s="101"/>
      <c r="G153" s="101"/>
    </row>
    <row r="154" spans="1:7" ht="15" x14ac:dyDescent="0.25">
      <c r="A154" s="65"/>
      <c r="B154" s="102"/>
      <c r="C154" s="103"/>
      <c r="D154" s="102"/>
      <c r="E154" s="70"/>
      <c r="F154" s="71"/>
      <c r="G154" s="71"/>
    </row>
    <row r="155" spans="1:7" ht="15" x14ac:dyDescent="0.25">
      <c r="A155" s="65"/>
      <c r="B155" s="66"/>
      <c r="C155" s="67"/>
      <c r="D155" s="66"/>
      <c r="E155" s="70"/>
      <c r="F155" s="71"/>
      <c r="G155" s="71"/>
    </row>
    <row r="156" spans="1:7" ht="15" x14ac:dyDescent="0.25">
      <c r="A156" s="65"/>
      <c r="B156" s="68"/>
      <c r="C156" s="69"/>
      <c r="D156" s="68"/>
      <c r="E156" s="70"/>
      <c r="F156" s="71"/>
      <c r="G156" s="71"/>
    </row>
    <row r="157" spans="1:7" ht="15" x14ac:dyDescent="0.25">
      <c r="A157" s="65"/>
      <c r="B157" s="68"/>
      <c r="C157" s="69"/>
      <c r="D157" s="68"/>
      <c r="E157" s="70"/>
      <c r="F157" s="71"/>
      <c r="G157" s="71"/>
    </row>
    <row r="158" spans="1:7" ht="15" x14ac:dyDescent="0.25">
      <c r="A158" s="65"/>
      <c r="B158" s="68"/>
      <c r="C158" s="69"/>
      <c r="D158" s="68"/>
      <c r="E158" s="70"/>
      <c r="F158" s="71"/>
      <c r="G158" s="71"/>
    </row>
    <row r="159" spans="1:7" ht="15" x14ac:dyDescent="0.25">
      <c r="A159" s="65"/>
      <c r="B159" s="68"/>
      <c r="C159" s="69"/>
      <c r="D159" s="68"/>
      <c r="E159" s="70"/>
      <c r="F159" s="71"/>
      <c r="G159" s="71"/>
    </row>
    <row r="160" spans="1:7" ht="15" x14ac:dyDescent="0.25">
      <c r="A160" s="65"/>
      <c r="B160" s="68"/>
      <c r="C160" s="69"/>
      <c r="D160" s="68"/>
      <c r="E160" s="70"/>
      <c r="F160" s="71"/>
      <c r="G160" s="71"/>
    </row>
    <row r="161" spans="1:7" x14ac:dyDescent="0.25">
      <c r="A161" s="93"/>
      <c r="B161" s="75"/>
      <c r="C161" s="76"/>
      <c r="D161" s="75"/>
    </row>
    <row r="162" spans="1:7" ht="15" x14ac:dyDescent="0.25">
      <c r="A162" s="65"/>
      <c r="B162" s="68"/>
      <c r="C162" s="69"/>
      <c r="D162" s="68"/>
      <c r="E162" s="70"/>
      <c r="F162" s="71"/>
      <c r="G162" s="71"/>
    </row>
    <row r="163" spans="1:7" ht="15" x14ac:dyDescent="0.25">
      <c r="A163" s="65"/>
      <c r="B163" s="68"/>
      <c r="C163" s="69"/>
      <c r="D163" s="68"/>
      <c r="E163" s="70"/>
      <c r="F163" s="71"/>
      <c r="G163" s="71"/>
    </row>
    <row r="164" spans="1:7" ht="15" x14ac:dyDescent="0.25">
      <c r="A164" s="65"/>
      <c r="B164" s="68"/>
      <c r="C164" s="69"/>
      <c r="D164" s="68"/>
      <c r="E164" s="70"/>
      <c r="F164" s="71"/>
      <c r="G164" s="71"/>
    </row>
    <row r="165" spans="1:7" ht="15" x14ac:dyDescent="0.25">
      <c r="A165" s="65"/>
      <c r="B165" s="68"/>
      <c r="C165" s="69"/>
      <c r="D165" s="68"/>
      <c r="E165" s="70"/>
      <c r="F165" s="71"/>
      <c r="G165" s="71"/>
    </row>
    <row r="166" spans="1:7" x14ac:dyDescent="0.25">
      <c r="A166" s="65"/>
      <c r="B166" s="68"/>
      <c r="C166" s="69"/>
      <c r="D166" s="68"/>
    </row>
    <row r="168" spans="1:7" x14ac:dyDescent="0.25">
      <c r="A168" s="104"/>
    </row>
    <row r="169" spans="1:7" ht="15" x14ac:dyDescent="0.25">
      <c r="A169" s="65"/>
      <c r="B169" s="105"/>
      <c r="C169" s="106"/>
      <c r="D169" s="105"/>
      <c r="E169" s="107"/>
      <c r="F169" s="108"/>
      <c r="G169" s="108"/>
    </row>
    <row r="170" spans="1:7" ht="15" x14ac:dyDescent="0.25">
      <c r="A170" s="109"/>
      <c r="B170" s="110"/>
      <c r="C170" s="111"/>
      <c r="D170" s="110"/>
      <c r="E170" s="107"/>
      <c r="F170" s="108"/>
      <c r="G170" s="108"/>
    </row>
    <row r="171" spans="1:7" ht="15" x14ac:dyDescent="0.25">
      <c r="A171" s="109"/>
      <c r="B171" s="110"/>
      <c r="C171" s="111"/>
      <c r="D171" s="110"/>
      <c r="E171" s="107"/>
      <c r="F171" s="108"/>
      <c r="G171" s="108"/>
    </row>
    <row r="172" spans="1:7" ht="15" x14ac:dyDescent="0.25">
      <c r="A172" s="109"/>
      <c r="B172" s="105"/>
      <c r="C172" s="106"/>
      <c r="D172" s="105"/>
      <c r="E172" s="107"/>
      <c r="F172" s="108"/>
      <c r="G172" s="108"/>
    </row>
    <row r="173" spans="1:7" ht="15" x14ac:dyDescent="0.25">
      <c r="A173" s="112"/>
      <c r="B173" s="105"/>
      <c r="C173" s="106"/>
      <c r="D173" s="105"/>
      <c r="E173" s="107"/>
      <c r="F173" s="108"/>
      <c r="G173" s="108"/>
    </row>
    <row r="174" spans="1:7" ht="15" x14ac:dyDescent="0.25">
      <c r="A174" s="112"/>
      <c r="B174" s="105"/>
      <c r="C174" s="106"/>
      <c r="D174" s="105"/>
      <c r="E174" s="107"/>
      <c r="F174" s="108"/>
      <c r="G174" s="108"/>
    </row>
    <row r="175" spans="1:7" ht="15" x14ac:dyDescent="0.25">
      <c r="A175" s="112"/>
      <c r="B175" s="105"/>
      <c r="C175" s="106"/>
      <c r="D175" s="105"/>
      <c r="E175" s="107"/>
      <c r="F175" s="108"/>
      <c r="G175" s="108"/>
    </row>
    <row r="176" spans="1:7" ht="15" x14ac:dyDescent="0.25">
      <c r="A176" s="112"/>
      <c r="B176" s="105"/>
      <c r="C176" s="106"/>
      <c r="D176" s="105"/>
      <c r="E176" s="107"/>
      <c r="F176" s="108"/>
      <c r="G176" s="108"/>
    </row>
    <row r="177" spans="1:7" ht="15" x14ac:dyDescent="0.25">
      <c r="A177" s="112"/>
      <c r="B177" s="105"/>
      <c r="C177" s="106"/>
      <c r="D177" s="105"/>
      <c r="E177" s="107"/>
      <c r="F177" s="108"/>
      <c r="G177" s="108"/>
    </row>
    <row r="178" spans="1:7" x14ac:dyDescent="0.25">
      <c r="A178" s="112"/>
      <c r="B178" s="113"/>
      <c r="C178" s="114"/>
      <c r="D178" s="113"/>
    </row>
    <row r="179" spans="1:7" x14ac:dyDescent="0.25">
      <c r="A179" s="109"/>
      <c r="B179" s="113"/>
      <c r="C179" s="114"/>
      <c r="D179" s="113"/>
    </row>
    <row r="180" spans="1:7" x14ac:dyDescent="0.25">
      <c r="A180" s="109"/>
      <c r="B180" s="110"/>
      <c r="C180" s="111"/>
      <c r="D180" s="110"/>
    </row>
    <row r="181" spans="1:7" x14ac:dyDescent="0.25">
      <c r="A181" s="109"/>
      <c r="B181" s="110"/>
      <c r="C181" s="111"/>
      <c r="D181" s="110"/>
    </row>
    <row r="182" spans="1:7" x14ac:dyDescent="0.25">
      <c r="A182" s="115"/>
      <c r="B182" s="116"/>
      <c r="C182" s="117"/>
      <c r="D182" s="116"/>
      <c r="E182" s="118"/>
      <c r="F182" s="119"/>
      <c r="G182" s="119"/>
    </row>
  </sheetData>
  <mergeCells count="5">
    <mergeCell ref="B3:C3"/>
    <mergeCell ref="D3:E3"/>
    <mergeCell ref="F3:G3"/>
    <mergeCell ref="B111:C111"/>
    <mergeCell ref="E111:F1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5"/>
  <sheetViews>
    <sheetView workbookViewId="0">
      <selection activeCell="E14" sqref="E14"/>
    </sheetView>
  </sheetViews>
  <sheetFormatPr defaultRowHeight="15" x14ac:dyDescent="0.25"/>
  <cols>
    <col min="3" max="4" width="9.28515625" bestFit="1" customWidth="1"/>
  </cols>
  <sheetData>
    <row r="2" spans="2:4" x14ac:dyDescent="0.25">
      <c r="C2" t="s">
        <v>13</v>
      </c>
      <c r="D2" t="s">
        <v>11</v>
      </c>
    </row>
    <row r="3" spans="2:4" x14ac:dyDescent="0.25">
      <c r="B3" t="s">
        <v>250</v>
      </c>
      <c r="C3">
        <v>93.6</v>
      </c>
      <c r="D3">
        <v>110.5</v>
      </c>
    </row>
    <row r="4" spans="2:4" x14ac:dyDescent="0.25">
      <c r="B4" t="s">
        <v>251</v>
      </c>
      <c r="C4">
        <v>4.3899999999999997</v>
      </c>
      <c r="D4">
        <v>4.3899999999999997</v>
      </c>
    </row>
    <row r="5" spans="2:4" x14ac:dyDescent="0.25">
      <c r="B5" t="s">
        <v>252</v>
      </c>
      <c r="C5" s="1">
        <f xml:space="preserve"> 'SW CC grad'!B19</f>
        <v>840989.68973188393</v>
      </c>
      <c r="D5" s="1">
        <f xml:space="preserve"> 'SW SF grad'!B19</f>
        <v>608234.78805349965</v>
      </c>
    </row>
  </sheetData>
  <scenarios current="0" show="0">
    <scenario name="Cost varies" locked="1" count="1" user="wtravis" comment="Created by wtravis on 8/7/2013_x000a_Modified by wtravis on 8/7/2013">
      <inputCells r="C3" val="93.6"/>
    </scenario>
  </scenarios>
  <conditionalFormatting sqref="C5">
    <cfRule type="expression" dxfId="1" priority="1" stopIfTrue="1">
      <formula>RiskIsOutput</formula>
    </cfRule>
  </conditionalFormatting>
  <conditionalFormatting sqref="D5">
    <cfRule type="expression" dxfId="0" priority="2" stopIfTrue="1">
      <formula>RiskIsOutput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R2"/>
  <sheetViews>
    <sheetView workbookViewId="0"/>
  </sheetViews>
  <sheetFormatPr defaultRowHeight="15" x14ac:dyDescent="0.25"/>
  <sheetData>
    <row r="1" spans="1:2124" x14ac:dyDescent="0.25">
      <c r="A1">
        <v>1</v>
      </c>
      <c r="B1">
        <v>1409</v>
      </c>
      <c r="C1">
        <v>1062</v>
      </c>
      <c r="D1">
        <v>2124</v>
      </c>
      <c r="E1">
        <v>0</v>
      </c>
      <c r="F1">
        <v>0</v>
      </c>
      <c r="G1">
        <v>0</v>
      </c>
    </row>
    <row r="2" spans="1:2124" x14ac:dyDescent="0.25">
      <c r="A2">
        <f>'Model Description'!$R$47</f>
        <v>38.110741820000001</v>
      </c>
      <c r="B2" t="e">
        <f ca="1">RiskValStatic(38.11074182)+_xll.RiskExtvalue(34.9704,5.4405,_xll.RiskName("WW CC pos"))</f>
        <v>#NAME?</v>
      </c>
      <c r="C2">
        <f>'Model Description'!$S$47</f>
        <v>40.23303216</v>
      </c>
      <c r="D2" t="e">
        <f ca="1">RiskValStatic(40.23303216)+_xll.RiskExtvalue(36.8386,5.8807,_xll.RiskName("WW SF pos"))</f>
        <v>#NAME?</v>
      </c>
      <c r="E2">
        <f>'Model Description'!$R$45</f>
        <v>37.513254680000003</v>
      </c>
      <c r="F2" t="e">
        <f ca="1">RiskValStatic(37.51325468)+_xll.RiskExtvalueMin(41.2068,6.3989,_xll.RiskName("WW CC neg"))</f>
        <v>#NAME?</v>
      </c>
      <c r="G2">
        <f>'Model Description'!$S$45</f>
        <v>39.663758870000002</v>
      </c>
      <c r="H2" t="e">
        <f ca="1">RiskValStatic(39.66375887)+_xll.RiskExtvalueMin(43.5008,6.6475,_xll.RiskName("WW SF neg"))</f>
        <v>#NAME?</v>
      </c>
      <c r="I2">
        <f>'Model Description'!$R$46</f>
        <v>38.000599999999999</v>
      </c>
      <c r="J2" t="e">
        <f ca="1">RiskValStatic(38.0006)+_xll.RiskNormal(38.0006,6.4389,_xll.RiskName("WW CC norm"))</f>
        <v>#NAME?</v>
      </c>
      <c r="K2">
        <f>'Model Description'!$S$46</f>
        <v>40.108400000000003</v>
      </c>
      <c r="L2" t="e">
        <f ca="1">RiskValStatic(40.1084)+_xll.RiskNormal(40.1084,6.8818,_xll.RiskName("WW SF norm"))</f>
        <v>#NAME?</v>
      </c>
      <c r="M2">
        <f>'SW CC no change'!$B$8</f>
        <v>28.4</v>
      </c>
      <c r="N2" t="e">
        <f ca="1">RiskValStatic('SW CC no change'!B7)+_xll.RiskNormal('SW CC no change'!B7,6.49,_xll.RiskStatic('SW CC no change'!B7))</f>
        <v>#NAME?</v>
      </c>
      <c r="O2">
        <f>'SW CC no change'!$C$8</f>
        <v>26.4</v>
      </c>
      <c r="P2" t="e">
        <f ca="1">RiskValStatic('SW CC no change'!C7)+_xll.RiskNormal('SW CC no change'!C7,6.49,_xll.RiskStatic('SW CC no change'!C7))</f>
        <v>#NAME?</v>
      </c>
      <c r="Q2">
        <f>'SW CC no change'!$D$8</f>
        <v>26.4</v>
      </c>
      <c r="R2" t="e">
        <f ca="1">RiskValStatic('SW CC no change'!D7)+_xll.RiskNormal('SW CC no change'!D7,6.49,_xll.RiskStatic('SW CC no change'!D7))</f>
        <v>#NAME?</v>
      </c>
      <c r="S2">
        <f>'SW CC no change'!$E$8</f>
        <v>27.4</v>
      </c>
      <c r="T2" t="e">
        <f ca="1">RiskValStatic('SW CC no change'!E7)+_xll.RiskNormal('SW CC no change'!E7,6.49,_xll.RiskStatic('SW CC no change'!E7))</f>
        <v>#NAME?</v>
      </c>
      <c r="U2">
        <f>'SW CC no change'!$F$8</f>
        <v>28.4</v>
      </c>
      <c r="V2" t="e">
        <f ca="1">RiskValStatic('SW CC no change'!F7)+_xll.RiskNormal('SW CC no change'!F7,6.49,_xll.RiskStatic('SW CC no change'!F7))</f>
        <v>#NAME?</v>
      </c>
      <c r="W2">
        <f>'SW CC no change'!$G$8</f>
        <v>27.4</v>
      </c>
      <c r="X2" t="e">
        <f ca="1">RiskValStatic('SW CC no change'!G7)+_xll.RiskNormal('SW CC no change'!G7,6.49,_xll.RiskStatic('SW CC no change'!G7))</f>
        <v>#NAME?</v>
      </c>
      <c r="Y2">
        <f>'SW CC no change'!$H$8</f>
        <v>30.4</v>
      </c>
      <c r="Z2" t="e">
        <f ca="1">RiskValStatic('SW CC no change'!H7)+_xll.RiskNormal('SW CC no change'!H7,6.49,_xll.RiskStatic('SW CC no change'!H7))</f>
        <v>#NAME?</v>
      </c>
      <c r="AA2">
        <f>'SW CC no change'!$I$8</f>
        <v>28.4</v>
      </c>
      <c r="AB2" t="e">
        <f ca="1">RiskValStatic('SW CC no change'!I7)+_xll.RiskNormal('SW CC no change'!I7,6.49,_xll.RiskStatic('SW CC no change'!I7))</f>
        <v>#NAME?</v>
      </c>
      <c r="AC2">
        <f>'SW CC no change'!$J$8</f>
        <v>27.4</v>
      </c>
      <c r="AD2" t="e">
        <f ca="1">RiskValStatic('SW CC no change'!J7)+_xll.RiskNormal('SW CC no change'!J7,6.49,_xll.RiskStatic('SW CC no change'!J7))</f>
        <v>#NAME?</v>
      </c>
      <c r="AE2">
        <f>'SW CC no change'!$K$8</f>
        <v>31.4</v>
      </c>
      <c r="AF2" t="e">
        <f ca="1">RiskValStatic('SW CC no change'!K7)+_xll.RiskNormal('SW CC no change'!K7,6.49,_xll.RiskStatic('SW CC no change'!K7))</f>
        <v>#NAME?</v>
      </c>
      <c r="AG2">
        <f>'SW CC no change'!$L$8</f>
        <v>33.4</v>
      </c>
      <c r="AH2" t="e">
        <f ca="1">RiskValStatic('SW CC no change'!L7)+_xll.RiskNormal('SW CC no change'!L7,6.49,_xll.RiskStatic('SW CC no change'!L7))</f>
        <v>#NAME?</v>
      </c>
      <c r="AI2">
        <f>'SW CC no change'!$M$8</f>
        <v>30.4</v>
      </c>
      <c r="AJ2" t="e">
        <f ca="1">RiskValStatic('SW CC no change'!M7)+_xll.RiskNormal('SW CC no change'!M7,6.49,_xll.RiskStatic('SW CC no change'!M7))</f>
        <v>#NAME?</v>
      </c>
      <c r="AK2">
        <f>'SW CC no change'!$N$8</f>
        <v>28.4</v>
      </c>
      <c r="AL2" t="e">
        <f ca="1">RiskValStatic('SW CC no change'!N7)+_xll.RiskNormal('SW CC no change'!N7,6.49,_xll.RiskStatic('SW CC no change'!N7))</f>
        <v>#NAME?</v>
      </c>
      <c r="AM2">
        <f>'SW CC no change'!$O$8</f>
        <v>26.4</v>
      </c>
      <c r="AN2" t="e">
        <f ca="1">RiskValStatic('SW CC no change'!O7)+_xll.RiskNormal('SW CC no change'!O7,6.49,_xll.RiskStatic('SW CC no change'!O7))</f>
        <v>#NAME?</v>
      </c>
      <c r="AO2">
        <f>'SW CC no change'!$P$8</f>
        <v>27.4</v>
      </c>
      <c r="AP2" t="e">
        <f ca="1">RiskValStatic('SW CC no change'!P7)+_xll.RiskNormal('SW CC no change'!P7,6.49,_xll.RiskStatic('SW CC no change'!P7))</f>
        <v>#NAME?</v>
      </c>
      <c r="AQ2">
        <f>'SW CC no change'!$Q$8</f>
        <v>29.4</v>
      </c>
      <c r="AR2" t="e">
        <f ca="1">RiskValStatic('SW CC no change'!Q7)+_xll.RiskNormal('SW CC no change'!Q7,6.49,_xll.RiskStatic('SW CC no change'!Q7))</f>
        <v>#NAME?</v>
      </c>
      <c r="AS2">
        <f>'SW CC no change'!$R$8</f>
        <v>29.4</v>
      </c>
      <c r="AT2" t="e">
        <f ca="1">RiskValStatic('SW CC no change'!R7)+_xll.RiskNormal('SW CC no change'!R7,6.49,_xll.RiskStatic('SW CC no change'!R7))</f>
        <v>#NAME?</v>
      </c>
      <c r="AU2">
        <f>'SW CC no change'!$S$8</f>
        <v>28.4</v>
      </c>
      <c r="AV2" t="e">
        <f ca="1">RiskValStatic('SW CC no change'!S7)+_xll.RiskNormal('SW CC no change'!S7,6.49,_xll.RiskStatic('SW CC no change'!S7))</f>
        <v>#NAME?</v>
      </c>
      <c r="AW2">
        <f>'SW CC no change'!$T$8</f>
        <v>30.4</v>
      </c>
      <c r="AX2" t="e">
        <f ca="1">RiskValStatic('SW CC no change'!T7)+_xll.RiskNormal('SW CC no change'!T7,6.49,_xll.RiskStatic('SW CC no change'!T7))</f>
        <v>#NAME?</v>
      </c>
      <c r="AY2">
        <f>'SW CC no change'!$U$8</f>
        <v>31.4</v>
      </c>
      <c r="AZ2" t="e">
        <f ca="1">RiskValStatic('SW CC no change'!U7)+_xll.RiskNormal('SW CC no change'!U7,6.49,_xll.RiskStatic('SW CC no change'!U7))</f>
        <v>#NAME?</v>
      </c>
      <c r="BA2">
        <f>'SW CC no change'!$V$8</f>
        <v>29.4</v>
      </c>
      <c r="BB2" t="e">
        <f ca="1">RiskValStatic('SW CC no change'!V7)+_xll.RiskNormal('SW CC no change'!V7,6.49,_xll.RiskStatic('SW CC no change'!V7))</f>
        <v>#NAME?</v>
      </c>
      <c r="BC2">
        <f>'SW CC no change'!$W$8</f>
        <v>27.4</v>
      </c>
      <c r="BD2" t="e">
        <f ca="1">RiskValStatic('SW CC no change'!W7)+_xll.RiskNormal('SW CC no change'!W7,6.49,_xll.RiskStatic('SW CC no change'!W7))</f>
        <v>#NAME?</v>
      </c>
      <c r="BE2">
        <f>'SW CC no change'!$X$8</f>
        <v>26.4</v>
      </c>
      <c r="BF2" t="e">
        <f ca="1">RiskValStatic('SW CC no change'!X7)+_xll.RiskNormal('SW CC no change'!X7,6.49,_xll.RiskStatic('SW CC no change'!X7))</f>
        <v>#NAME?</v>
      </c>
      <c r="BG2">
        <f>'SW CC no change'!$Y$8</f>
        <v>30.4</v>
      </c>
      <c r="BH2" t="e">
        <f ca="1">RiskValStatic('SW CC no change'!Y7)+_xll.RiskNormal('SW CC no change'!Y7,6.49,_xll.RiskStatic('SW CC no change'!Y7))</f>
        <v>#NAME?</v>
      </c>
      <c r="BI2">
        <f>'SW CC no change'!$Z$8</f>
        <v>29.4</v>
      </c>
      <c r="BJ2" t="e">
        <f ca="1">RiskValStatic('SW CC no change'!Z7)+_xll.RiskNormal('SW CC no change'!Z7,6.49,_xll.RiskStatic('SW CC no change'!Z7))</f>
        <v>#NAME?</v>
      </c>
      <c r="BK2">
        <f>'SW CC no change'!$AA$8</f>
        <v>31.4</v>
      </c>
      <c r="BL2" t="e">
        <f ca="1">RiskValStatic('SW CC no change'!AA7)+_xll.RiskNormal('SW CC no change'!AA7,6.49,_xll.RiskStatic('SW CC no change'!AA7))</f>
        <v>#NAME?</v>
      </c>
      <c r="BM2">
        <f>'SW CC no change'!$AB$8</f>
        <v>29.4</v>
      </c>
      <c r="BN2" t="e">
        <f ca="1">RiskValStatic('SW CC no change'!AB7)+_xll.RiskNormal('SW CC no change'!AB7,6.49,_xll.RiskStatic('SW CC no change'!AB7))</f>
        <v>#NAME?</v>
      </c>
      <c r="BO2">
        <f>'SW CC no change'!$AC$8</f>
        <v>30.4</v>
      </c>
      <c r="BP2" t="e">
        <f ca="1">RiskValStatic('SW CC no change'!AC7)+_xll.RiskNormal('SW CC no change'!AC7,6.49,_xll.RiskStatic('SW CC no change'!AC7))</f>
        <v>#NAME?</v>
      </c>
      <c r="BQ2">
        <f>'SW CC no change'!$AD$8</f>
        <v>29.4</v>
      </c>
      <c r="BR2" t="e">
        <f ca="1">RiskValStatic('SW CC no change'!AD7)+_xll.RiskNormal('SW CC no change'!AD7,6.49,_xll.RiskStatic('SW CC no change'!AD7))</f>
        <v>#NAME?</v>
      </c>
      <c r="BS2">
        <f>'SW CC no change'!$AE$8</f>
        <v>28.4</v>
      </c>
      <c r="BT2" t="e">
        <f ca="1">RiskValStatic('SW CC no change'!AE7)+_xll.RiskNormal('SW CC no change'!AE7,6.49,_xll.RiskStatic('SW CC no change'!AE7))</f>
        <v>#NAME?</v>
      </c>
      <c r="BU2">
        <f>'SW CC no change'!$AF$8</f>
        <v>28.4</v>
      </c>
      <c r="BV2" t="e">
        <f ca="1">RiskValStatic('SW CC no change'!AF7)+_xll.RiskNormal('SW CC no change'!AF7,6.49,_xll.RiskStatic('SW CC no change'!AF7))</f>
        <v>#NAME?</v>
      </c>
      <c r="BW2" s="2">
        <f>'SW CC no change'!$B$13</f>
        <v>4.3899999999999997</v>
      </c>
      <c r="BX2" t="e">
        <f ca="1">RiskValStatic(4.39)+_xll.RiskNormal(4.39,2.5,_xll.RiskShift(0),_xll.RiskStatic(4.39))</f>
        <v>#NAME?</v>
      </c>
      <c r="BY2" s="2">
        <f>'SW CC no change'!$C$13</f>
        <v>4.3899999999999997</v>
      </c>
      <c r="BZ2" t="e">
        <f ca="1">RiskValStatic(4.39)+_xll.RiskNormal(4.39,2.5,_xll.RiskShift(0),_xll.RiskStatic(4.39))</f>
        <v>#NAME?</v>
      </c>
      <c r="CA2" s="2">
        <f>'SW CC no change'!$D$13</f>
        <v>4.3899999999999997</v>
      </c>
      <c r="CB2" t="e">
        <f ca="1">RiskValStatic(4.39)+_xll.RiskNormal(4.39,2.5,_xll.RiskShift(0),_xll.RiskStatic(4.39))</f>
        <v>#NAME?</v>
      </c>
      <c r="CC2" s="2">
        <f>'SW CC no change'!$E$13</f>
        <v>4.3899999999999997</v>
      </c>
      <c r="CD2" t="e">
        <f ca="1">RiskValStatic(4.39)+_xll.RiskNormal(4.39,2.5,_xll.RiskShift(0),_xll.RiskStatic(4.39))</f>
        <v>#NAME?</v>
      </c>
      <c r="CE2" s="2">
        <f>'SW CC no change'!$F$13</f>
        <v>4.3899999999999997</v>
      </c>
      <c r="CF2" t="e">
        <f ca="1">RiskValStatic(4.39)+_xll.RiskNormal(4.39,2.5,_xll.RiskShift(0),_xll.RiskStatic(4.39))</f>
        <v>#NAME?</v>
      </c>
      <c r="CG2" s="2">
        <f>'SW CC no change'!$G$13</f>
        <v>4.3899999999999997</v>
      </c>
      <c r="CH2" t="e">
        <f ca="1">RiskValStatic(4.39)+_xll.RiskNormal(4.39,2.5,_xll.RiskShift(0),_xll.RiskStatic(4.39))</f>
        <v>#NAME?</v>
      </c>
      <c r="CI2" s="2">
        <f>'SW CC no change'!$H$13</f>
        <v>4.3899999999999997</v>
      </c>
      <c r="CJ2" t="e">
        <f ca="1">RiskValStatic(4.39)+_xll.RiskNormal(4.39,2.5,_xll.RiskShift(0),_xll.RiskStatic(4.39))</f>
        <v>#NAME?</v>
      </c>
      <c r="CK2" s="2">
        <f>'SW CC no change'!$I$13</f>
        <v>4.3899999999999997</v>
      </c>
      <c r="CL2" t="e">
        <f ca="1">RiskValStatic(4.39)+_xll.RiskNormal(4.39,2.5,_xll.RiskShift(0),_xll.RiskStatic(4.39))</f>
        <v>#NAME?</v>
      </c>
      <c r="CM2" s="2">
        <f>'SW CC no change'!$J$13</f>
        <v>4.3899999999999997</v>
      </c>
      <c r="CN2" t="e">
        <f ca="1">RiskValStatic(4.39)+_xll.RiskNormal(4.39,2.5,_xll.RiskShift(0),_xll.RiskStatic(4.39))</f>
        <v>#NAME?</v>
      </c>
      <c r="CO2" s="2">
        <f>'SW CC no change'!$K$13</f>
        <v>4.3899999999999997</v>
      </c>
      <c r="CP2" t="e">
        <f ca="1">RiskValStatic(4.39)+_xll.RiskNormal(4.39,2.5,_xll.RiskShift(0),_xll.RiskStatic(4.39))</f>
        <v>#NAME?</v>
      </c>
      <c r="CQ2" s="2">
        <f>'SW CC no change'!$L$13</f>
        <v>4.3899999999999997</v>
      </c>
      <c r="CR2" t="e">
        <f ca="1">RiskValStatic(4.39)+_xll.RiskNormal(4.39,2.5,_xll.RiskShift(0),_xll.RiskStatic(4.39))</f>
        <v>#NAME?</v>
      </c>
      <c r="CS2" s="2">
        <f>'SW CC no change'!$M$13</f>
        <v>4.3899999999999997</v>
      </c>
      <c r="CT2" t="e">
        <f ca="1">RiskValStatic(4.39)+_xll.RiskNormal(4.39,2.5,_xll.RiskShift(0),_xll.RiskStatic(4.39))</f>
        <v>#NAME?</v>
      </c>
      <c r="CU2" s="2">
        <f>'SW CC no change'!$N$13</f>
        <v>4.3899999999999997</v>
      </c>
      <c r="CV2" t="e">
        <f ca="1">RiskValStatic(4.39)+_xll.RiskNormal(4.39,2.5,_xll.RiskShift(0),_xll.RiskStatic(4.39))</f>
        <v>#NAME?</v>
      </c>
      <c r="CW2" s="2">
        <f>'SW CC no change'!$O$13</f>
        <v>4.3899999999999997</v>
      </c>
      <c r="CX2" t="e">
        <f ca="1">RiskValStatic(4.39)+_xll.RiskNormal(4.39,2.5,_xll.RiskShift(0),_xll.RiskStatic(4.39))</f>
        <v>#NAME?</v>
      </c>
      <c r="CY2" s="2">
        <f>'SW CC no change'!$P$13</f>
        <v>4.3899999999999997</v>
      </c>
      <c r="CZ2" t="e">
        <f ca="1">RiskValStatic(4.39)+_xll.RiskNormal(4.39,2.5,_xll.RiskShift(0),_xll.RiskStatic(4.39))</f>
        <v>#NAME?</v>
      </c>
      <c r="DA2" s="2">
        <f>'SW CC no change'!$Q$13</f>
        <v>4.3899999999999997</v>
      </c>
      <c r="DB2" t="e">
        <f ca="1">RiskValStatic(4.39)+_xll.RiskNormal(4.39,2.5,_xll.RiskShift(0),_xll.RiskStatic(4.39))</f>
        <v>#NAME?</v>
      </c>
      <c r="DC2" s="2">
        <f>'SW CC no change'!$R$13</f>
        <v>4.3899999999999997</v>
      </c>
      <c r="DD2" t="e">
        <f ca="1">RiskValStatic(4.39)+_xll.RiskNormal(4.39,2.5,_xll.RiskShift(0),_xll.RiskStatic(4.39))</f>
        <v>#NAME?</v>
      </c>
      <c r="DE2" s="2">
        <f>'SW CC no change'!$S$13</f>
        <v>4.3899999999999997</v>
      </c>
      <c r="DF2" t="e">
        <f ca="1">RiskValStatic(4.39)+_xll.RiskNormal(4.39,2.5,_xll.RiskShift(0),_xll.RiskStatic(4.39))</f>
        <v>#NAME?</v>
      </c>
      <c r="DG2" s="2">
        <f>'SW CC no change'!$T$13</f>
        <v>4.3899999999999997</v>
      </c>
      <c r="DH2" t="e">
        <f ca="1">RiskValStatic(4.39)+_xll.RiskNormal(4.39,2.5,_xll.RiskShift(0),_xll.RiskStatic(4.39))</f>
        <v>#NAME?</v>
      </c>
      <c r="DI2" s="2">
        <f>'SW CC no change'!$U$13</f>
        <v>4.3899999999999997</v>
      </c>
      <c r="DJ2" t="e">
        <f ca="1">RiskValStatic(4.39)+_xll.RiskNormal(4.39,2.5,_xll.RiskShift(0),_xll.RiskStatic(4.39))</f>
        <v>#NAME?</v>
      </c>
      <c r="DK2" s="2">
        <f>'SW CC no change'!$V$13</f>
        <v>4.3899999999999997</v>
      </c>
      <c r="DL2" t="e">
        <f ca="1">RiskValStatic(4.39)+_xll.RiskNormal(4.39,2.5,_xll.RiskShift(0),_xll.RiskStatic(4.39))</f>
        <v>#NAME?</v>
      </c>
      <c r="DM2" s="2">
        <f>'SW CC no change'!$W$13</f>
        <v>4.3899999999999997</v>
      </c>
      <c r="DN2" t="e">
        <f ca="1">RiskValStatic(4.39)+_xll.RiskNormal(4.39,2.5,_xll.RiskShift(0),_xll.RiskStatic(4.39))</f>
        <v>#NAME?</v>
      </c>
      <c r="DO2" s="2">
        <f>'SW CC no change'!$X$13</f>
        <v>4.3899999999999997</v>
      </c>
      <c r="DP2" t="e">
        <f ca="1">RiskValStatic(4.39)+_xll.RiskNormal(4.39,2.5,_xll.RiskShift(0),_xll.RiskStatic(4.39))</f>
        <v>#NAME?</v>
      </c>
      <c r="DQ2" s="2">
        <f>'SW CC no change'!$Y$13</f>
        <v>4.3899999999999997</v>
      </c>
      <c r="DR2" t="e">
        <f ca="1">RiskValStatic(4.39)+_xll.RiskNormal(4.39,2.5,_xll.RiskShift(0),_xll.RiskStatic(4.39))</f>
        <v>#NAME?</v>
      </c>
      <c r="DS2" s="2">
        <f>'SW CC no change'!$Z$13</f>
        <v>4.3899999999999997</v>
      </c>
      <c r="DT2" t="e">
        <f ca="1">RiskValStatic(4.39)+_xll.RiskNormal(4.39,2.5,_xll.RiskShift(0),_xll.RiskStatic(4.39))</f>
        <v>#NAME?</v>
      </c>
      <c r="DU2" s="2">
        <f>'SW CC no change'!$AA$13</f>
        <v>4.3899999999999997</v>
      </c>
      <c r="DV2" t="e">
        <f ca="1">RiskValStatic(4.39)+_xll.RiskNormal(4.39,2.5,_xll.RiskShift(0),_xll.RiskStatic(4.39))</f>
        <v>#NAME?</v>
      </c>
      <c r="DW2" s="2">
        <f>'SW CC no change'!$AB$13</f>
        <v>4.3899999999999997</v>
      </c>
      <c r="DX2" t="e">
        <f ca="1">RiskValStatic(4.39)+_xll.RiskNormal(4.39,2.5,_xll.RiskShift(0),_xll.RiskStatic(4.39))</f>
        <v>#NAME?</v>
      </c>
      <c r="DY2" s="2">
        <f>'SW CC no change'!$AC$13</f>
        <v>4.3899999999999997</v>
      </c>
      <c r="DZ2" t="e">
        <f ca="1">RiskValStatic(4.39)+_xll.RiskNormal(4.39,2.5,_xll.RiskShift(0),_xll.RiskStatic(4.39))</f>
        <v>#NAME?</v>
      </c>
      <c r="EA2" s="2">
        <f>'SW CC no change'!$AD$13</f>
        <v>4.3899999999999997</v>
      </c>
      <c r="EB2" t="e">
        <f ca="1">RiskValStatic(4.39)+_xll.RiskNormal(4.39,2.5,_xll.RiskShift(0),_xll.RiskStatic(4.39))</f>
        <v>#NAME?</v>
      </c>
      <c r="EC2" s="2">
        <f>'SW CC no change'!$AE$13</f>
        <v>4.3899999999999997</v>
      </c>
      <c r="ED2" t="e">
        <f ca="1">RiskValStatic(4.39)+_xll.RiskNormal(4.39,2.5,_xll.RiskShift(0),_xll.RiskStatic(4.39))</f>
        <v>#NAME?</v>
      </c>
      <c r="EE2" s="2">
        <f>'SW CC no change'!$AF$13</f>
        <v>4.3899999999999997</v>
      </c>
      <c r="EF2" t="e">
        <f ca="1">RiskValStatic(4.39)+_xll.RiskNormal(4.39,2.5,_xll.RiskShift(0),_xll.RiskStatic(4.39))</f>
        <v>#NAME?</v>
      </c>
      <c r="EG2" s="2">
        <f>'SW CC no change'!$B$15</f>
        <v>249351.99999999997</v>
      </c>
      <c r="EH2" t="e">
        <f ca="1">_xll.RiskOutput()+'SW CC no change'!B11*'SW CC no change'!B13</f>
        <v>#VALUE!</v>
      </c>
      <c r="EI2" s="2">
        <f>'SW CC no change'!$C$15</f>
        <v>231791.99999999997</v>
      </c>
      <c r="EJ2" t="e">
        <f ca="1">_xll.RiskOutput()+'SW CC no change'!C11*'SW CC no change'!C13</f>
        <v>#VALUE!</v>
      </c>
      <c r="EK2" s="2">
        <f>'SW CC no change'!$D$15</f>
        <v>231791.99999999997</v>
      </c>
      <c r="EL2" t="e">
        <f ca="1">_xll.RiskOutput()+'SW CC no change'!D11*'SW CC no change'!D13</f>
        <v>#VALUE!</v>
      </c>
      <c r="EM2" s="2">
        <f>'SW CC no change'!$E$15</f>
        <v>240571.99999999997</v>
      </c>
      <c r="EN2" t="e">
        <f ca="1">_xll.RiskOutput()+'SW CC no change'!E11*'SW CC no change'!E13</f>
        <v>#VALUE!</v>
      </c>
      <c r="EO2" s="2">
        <f>'SW CC no change'!$F$15</f>
        <v>249351.99999999997</v>
      </c>
      <c r="EP2" t="e">
        <f ca="1">_xll.RiskOutput()+'SW CC no change'!F11*'SW CC no change'!F13</f>
        <v>#VALUE!</v>
      </c>
      <c r="EQ2" s="2">
        <f>'SW CC no change'!$G$15</f>
        <v>240571.99999999997</v>
      </c>
      <c r="ER2" t="e">
        <f ca="1">_xll.RiskOutput()+'SW CC no change'!G11*'SW CC no change'!G13</f>
        <v>#VALUE!</v>
      </c>
      <c r="ES2" s="2">
        <f>'SW CC no change'!$H$15</f>
        <v>266912</v>
      </c>
      <c r="ET2" t="e">
        <f ca="1">_xll.RiskOutput()+'SW CC no change'!H11*'SW CC no change'!H13</f>
        <v>#VALUE!</v>
      </c>
      <c r="EU2" s="2">
        <f>'SW CC no change'!$I$15</f>
        <v>249351.99999999997</v>
      </c>
      <c r="EV2" t="e">
        <f ca="1">_xll.RiskOutput()+'SW CC no change'!I11*'SW CC no change'!I13</f>
        <v>#VALUE!</v>
      </c>
      <c r="EW2" s="2">
        <f>'SW CC no change'!$J$15</f>
        <v>240571.99999999997</v>
      </c>
      <c r="EX2" t="e">
        <f ca="1">_xll.RiskOutput()+'SW CC no change'!J11*'SW CC no change'!J13</f>
        <v>#VALUE!</v>
      </c>
      <c r="EY2" s="2">
        <f>'SW CC no change'!$K$15</f>
        <v>275692</v>
      </c>
      <c r="EZ2" t="e">
        <f ca="1">_xll.RiskOutput()+'SW CC no change'!K11*'SW CC no change'!K13</f>
        <v>#VALUE!</v>
      </c>
      <c r="FA2" s="2">
        <f>'SW CC no change'!$L$15</f>
        <v>293252</v>
      </c>
      <c r="FB2" t="e">
        <f ca="1">_xll.RiskOutput()+'SW CC no change'!L11*'SW CC no change'!L13</f>
        <v>#VALUE!</v>
      </c>
      <c r="FC2" s="2">
        <f>'SW CC no change'!$M$15</f>
        <v>266912</v>
      </c>
      <c r="FD2" t="e">
        <f ca="1">_xll.RiskOutput()+'SW CC no change'!M11*'SW CC no change'!M13</f>
        <v>#VALUE!</v>
      </c>
      <c r="FE2" s="2">
        <f>'SW CC no change'!$N$15</f>
        <v>249351.99999999997</v>
      </c>
      <c r="FF2" t="e">
        <f ca="1">_xll.RiskOutput()+'SW CC no change'!N11*'SW CC no change'!N13</f>
        <v>#VALUE!</v>
      </c>
      <c r="FG2" s="2">
        <f>'SW CC no change'!$O$15</f>
        <v>231791.99999999997</v>
      </c>
      <c r="FH2" t="e">
        <f ca="1">_xll.RiskOutput()+'SW CC no change'!O11*'SW CC no change'!O13</f>
        <v>#VALUE!</v>
      </c>
      <c r="FI2" s="2">
        <f>'SW CC no change'!$P$15</f>
        <v>240571.99999999997</v>
      </c>
      <c r="FJ2" t="e">
        <f ca="1">_xll.RiskOutput()+'SW CC no change'!P11*'SW CC no change'!P13</f>
        <v>#VALUE!</v>
      </c>
      <c r="FK2" s="2">
        <f>'SW CC no change'!$Q$15</f>
        <v>258131.99999999997</v>
      </c>
      <c r="FL2" t="e">
        <f ca="1">_xll.RiskOutput()+'SW CC no change'!Q11*'SW CC no change'!Q13</f>
        <v>#VALUE!</v>
      </c>
      <c r="FM2" s="2">
        <f>'SW CC no change'!$R$15</f>
        <v>258131.99999999997</v>
      </c>
      <c r="FN2" t="e">
        <f ca="1">_xll.RiskOutput()+'SW CC no change'!R11*'SW CC no change'!R13</f>
        <v>#VALUE!</v>
      </c>
      <c r="FO2" s="2">
        <f>'SW CC no change'!$S$15</f>
        <v>249351.99999999997</v>
      </c>
      <c r="FP2" t="e">
        <f ca="1">_xll.RiskOutput()+'SW CC no change'!S11*'SW CC no change'!S13</f>
        <v>#VALUE!</v>
      </c>
      <c r="FQ2" s="2">
        <f>'SW CC no change'!$T$15</f>
        <v>266912</v>
      </c>
      <c r="FR2" t="e">
        <f ca="1">_xll.RiskOutput()+'SW CC no change'!T11*'SW CC no change'!T13</f>
        <v>#VALUE!</v>
      </c>
      <c r="FS2" s="2">
        <f>'SW CC no change'!$U$15</f>
        <v>275692</v>
      </c>
      <c r="FT2" t="e">
        <f ca="1">_xll.RiskOutput()+'SW CC no change'!U11*'SW CC no change'!U13</f>
        <v>#VALUE!</v>
      </c>
      <c r="FU2" s="2">
        <f>'SW CC no change'!$V$15</f>
        <v>258131.99999999997</v>
      </c>
      <c r="FV2" t="e">
        <f ca="1">_xll.RiskOutput()+'SW CC no change'!V11*'SW CC no change'!V13</f>
        <v>#VALUE!</v>
      </c>
      <c r="FW2" s="2">
        <f>'SW CC no change'!$W$15</f>
        <v>240571.99999999997</v>
      </c>
      <c r="FX2" t="e">
        <f ca="1">_xll.RiskOutput()+'SW CC no change'!W11*'SW CC no change'!W13</f>
        <v>#VALUE!</v>
      </c>
      <c r="FY2" s="2">
        <f>'SW CC no change'!$X$15</f>
        <v>231791.99999999997</v>
      </c>
      <c r="FZ2" t="e">
        <f ca="1">_xll.RiskOutput()+'SW CC no change'!X11*'SW CC no change'!X13</f>
        <v>#VALUE!</v>
      </c>
      <c r="GA2" s="2">
        <f>'SW CC no change'!$Y$15</f>
        <v>266912</v>
      </c>
      <c r="GB2" t="e">
        <f ca="1">_xll.RiskOutput()+'SW CC no change'!Y11*'SW CC no change'!Y13</f>
        <v>#VALUE!</v>
      </c>
      <c r="GC2" s="2">
        <f>'SW CC no change'!$Z$15</f>
        <v>258131.99999999997</v>
      </c>
      <c r="GD2" t="e">
        <f ca="1">_xll.RiskOutput()+'SW CC no change'!Z11*'SW CC no change'!Z13</f>
        <v>#VALUE!</v>
      </c>
      <c r="GE2" s="2">
        <f>'SW CC no change'!$AA$15</f>
        <v>275692</v>
      </c>
      <c r="GF2" t="e">
        <f ca="1">_xll.RiskOutput()+'SW CC no change'!AA11*'SW CC no change'!AA13</f>
        <v>#VALUE!</v>
      </c>
      <c r="GG2" s="2">
        <f>'SW CC no change'!$AB$15</f>
        <v>258131.99999999997</v>
      </c>
      <c r="GH2" t="e">
        <f ca="1">_xll.RiskOutput()+'SW CC no change'!AB11*'SW CC no change'!AB13</f>
        <v>#VALUE!</v>
      </c>
      <c r="GI2" s="2">
        <f>'SW CC no change'!$AC$15</f>
        <v>266912</v>
      </c>
      <c r="GJ2" t="e">
        <f ca="1">_xll.RiskOutput()+'SW CC no change'!AC11*'SW CC no change'!AC13</f>
        <v>#VALUE!</v>
      </c>
      <c r="GK2" s="2">
        <f>'SW CC no change'!$AD$15</f>
        <v>258131.99999999997</v>
      </c>
      <c r="GL2" t="e">
        <f ca="1">_xll.RiskOutput()+'SW CC no change'!AD11*'SW CC no change'!AD13</f>
        <v>#VALUE!</v>
      </c>
      <c r="GM2" s="2">
        <f>'SW CC no change'!$AE$15</f>
        <v>249351.99999999997</v>
      </c>
      <c r="GN2" t="e">
        <f ca="1">_xll.RiskOutput()+'SW CC no change'!AE11*'SW CC no change'!AE13</f>
        <v>#VALUE!</v>
      </c>
      <c r="GO2" s="2">
        <f>'SW CC no change'!$AF$15</f>
        <v>249351.99999999997</v>
      </c>
      <c r="GP2" t="e">
        <f ca="1">_xll.RiskOutput()+'SW CC no change'!AF11*'SW CC no change'!AF13</f>
        <v>#VALUE!</v>
      </c>
      <c r="GQ2" s="2">
        <f>'SW CC no change'!$B$16</f>
        <v>62151.999999999971</v>
      </c>
      <c r="GR2" s="2" t="e">
        <f ca="1">_xll.RiskOutput()+'SW CC no change'!B15-'SW CC no change'!B12</f>
        <v>#VALUE!</v>
      </c>
      <c r="GS2" s="2">
        <f>'SW CC no change'!$C$16</f>
        <v>44591.999999999971</v>
      </c>
      <c r="GT2" s="2" t="e">
        <f ca="1">_xll.RiskOutput()+'SW CC no change'!C15-'SW CC no change'!C12</f>
        <v>#VALUE!</v>
      </c>
      <c r="GU2" s="2">
        <f>'SW CC no change'!$D$16</f>
        <v>44591.999999999971</v>
      </c>
      <c r="GV2" s="2" t="e">
        <f ca="1">_xll.RiskOutput()+'SW CC no change'!D15-'SW CC no change'!D12</f>
        <v>#VALUE!</v>
      </c>
      <c r="GW2" s="2">
        <f>'SW CC no change'!$E$16</f>
        <v>53371.999999999971</v>
      </c>
      <c r="GX2" s="2" t="e">
        <f ca="1">_xll.RiskOutput()+'SW CC no change'!E15-'SW CC no change'!E12</f>
        <v>#VALUE!</v>
      </c>
      <c r="GY2" s="2">
        <f>'SW CC no change'!$F$16</f>
        <v>62151.999999999971</v>
      </c>
      <c r="GZ2" s="2" t="e">
        <f ca="1">_xll.RiskOutput()+'SW CC no change'!F15-'SW CC no change'!F12</f>
        <v>#VALUE!</v>
      </c>
      <c r="HA2" s="2">
        <f>'SW CC no change'!$G$16</f>
        <v>53371.999999999971</v>
      </c>
      <c r="HB2" s="2" t="e">
        <f ca="1">_xll.RiskOutput()+'SW CC no change'!G15-'SW CC no change'!G12</f>
        <v>#VALUE!</v>
      </c>
      <c r="HC2" s="2">
        <f>'SW CC no change'!$H$16</f>
        <v>79712</v>
      </c>
      <c r="HD2" s="2" t="e">
        <f ca="1">_xll.RiskOutput()+'SW CC no change'!H15-'SW CC no change'!H12</f>
        <v>#VALUE!</v>
      </c>
      <c r="HE2" s="2">
        <f>'SW CC no change'!$I$16</f>
        <v>62151.999999999971</v>
      </c>
      <c r="HF2" s="2" t="e">
        <f ca="1">_xll.RiskOutput()+'SW CC no change'!I15-'SW CC no change'!I12</f>
        <v>#VALUE!</v>
      </c>
      <c r="HG2" s="2">
        <f>'SW CC no change'!$J$16</f>
        <v>53371.999999999971</v>
      </c>
      <c r="HH2" s="2" t="e">
        <f ca="1">_xll.RiskOutput()+'SW CC no change'!J15-'SW CC no change'!J12</f>
        <v>#VALUE!</v>
      </c>
      <c r="HI2" s="2">
        <f>'SW CC no change'!$K$16</f>
        <v>88492</v>
      </c>
      <c r="HJ2" s="2" t="e">
        <f ca="1">_xll.RiskOutput()+'SW CC no change'!K15-'SW CC no change'!K12</f>
        <v>#VALUE!</v>
      </c>
      <c r="HK2" s="2">
        <f>'SW CC no change'!$L$16</f>
        <v>106052</v>
      </c>
      <c r="HL2" s="2" t="e">
        <f ca="1">_xll.RiskOutput()+'SW CC no change'!L15-'SW CC no change'!L12</f>
        <v>#VALUE!</v>
      </c>
      <c r="HM2" s="2">
        <f>'SW CC no change'!$M$16</f>
        <v>79712</v>
      </c>
      <c r="HN2" s="2" t="e">
        <f ca="1">_xll.RiskOutput()+'SW CC no change'!M15-'SW CC no change'!M12</f>
        <v>#VALUE!</v>
      </c>
      <c r="HO2" s="2">
        <f>'SW CC no change'!$N$16</f>
        <v>62151.999999999971</v>
      </c>
      <c r="HP2" s="2" t="e">
        <f ca="1">_xll.RiskOutput()+'SW CC no change'!N15-'SW CC no change'!N12</f>
        <v>#VALUE!</v>
      </c>
      <c r="HQ2" s="2">
        <f>'SW CC no change'!$O$16</f>
        <v>44591.999999999971</v>
      </c>
      <c r="HR2" s="2" t="e">
        <f ca="1">_xll.RiskOutput()+'SW CC no change'!O15-'SW CC no change'!O12</f>
        <v>#VALUE!</v>
      </c>
      <c r="HS2" s="2">
        <f>'SW CC no change'!$P$16</f>
        <v>53371.999999999971</v>
      </c>
      <c r="HT2" s="2" t="e">
        <f ca="1">_xll.RiskOutput()+'SW CC no change'!P15-'SW CC no change'!P12</f>
        <v>#VALUE!</v>
      </c>
      <c r="HU2" s="2">
        <f>'SW CC no change'!$Q$16</f>
        <v>70931.999999999971</v>
      </c>
      <c r="HV2" s="2" t="e">
        <f ca="1">_xll.RiskOutput()+'SW CC no change'!Q15-'SW CC no change'!Q12</f>
        <v>#VALUE!</v>
      </c>
      <c r="HW2" s="2">
        <f>'SW CC no change'!$R$16</f>
        <v>70931.999999999971</v>
      </c>
      <c r="HX2" s="2" t="e">
        <f ca="1">_xll.RiskOutput()+'SW CC no change'!R15-'SW CC no change'!R12</f>
        <v>#VALUE!</v>
      </c>
      <c r="HY2" s="2">
        <f>'SW CC no change'!$S$16</f>
        <v>62151.999999999971</v>
      </c>
      <c r="HZ2" s="2" t="e">
        <f ca="1">_xll.RiskOutput()+'SW CC no change'!S15-'SW CC no change'!S12</f>
        <v>#VALUE!</v>
      </c>
      <c r="IA2" s="2">
        <f>'SW CC no change'!$T$16</f>
        <v>79712</v>
      </c>
      <c r="IB2" s="2" t="e">
        <f ca="1">_xll.RiskOutput()+'SW CC no change'!T15-'SW CC no change'!T12</f>
        <v>#VALUE!</v>
      </c>
      <c r="IC2" s="2">
        <f>'SW CC no change'!$U$16</f>
        <v>88492</v>
      </c>
      <c r="ID2" s="2" t="e">
        <f ca="1">_xll.RiskOutput()+'SW CC no change'!U15-'SW CC no change'!U12</f>
        <v>#VALUE!</v>
      </c>
      <c r="IE2" s="2">
        <f>'SW CC no change'!$V$16</f>
        <v>70931.999999999971</v>
      </c>
      <c r="IF2" s="2" t="e">
        <f ca="1">_xll.RiskOutput()+'SW CC no change'!V15-'SW CC no change'!V12</f>
        <v>#VALUE!</v>
      </c>
      <c r="IG2" s="2">
        <f>'SW CC no change'!$W$16</f>
        <v>53371.999999999971</v>
      </c>
      <c r="IH2" s="2" t="e">
        <f ca="1">_xll.RiskOutput()+'SW CC no change'!W15-'SW CC no change'!W12</f>
        <v>#VALUE!</v>
      </c>
      <c r="II2" s="2">
        <f>'SW CC no change'!$X$16</f>
        <v>44591.999999999971</v>
      </c>
      <c r="IJ2" s="2" t="e">
        <f ca="1">_xll.RiskOutput()+'SW CC no change'!X15-'SW CC no change'!X12</f>
        <v>#VALUE!</v>
      </c>
      <c r="IK2" s="2">
        <f>'SW CC no change'!$Y$16</f>
        <v>79712</v>
      </c>
      <c r="IL2" s="2" t="e">
        <f ca="1">_xll.RiskOutput()+'SW CC no change'!Y15-'SW CC no change'!Y12</f>
        <v>#VALUE!</v>
      </c>
      <c r="IM2" s="2">
        <f>'SW CC no change'!$Z$16</f>
        <v>70931.999999999971</v>
      </c>
      <c r="IN2" s="2" t="e">
        <f ca="1">_xll.RiskOutput()+'SW CC no change'!Z15-'SW CC no change'!Z12</f>
        <v>#VALUE!</v>
      </c>
      <c r="IO2" s="2">
        <f>'SW CC no change'!$AA$16</f>
        <v>88492</v>
      </c>
      <c r="IP2" s="2" t="e">
        <f ca="1">_xll.RiskOutput()+'SW CC no change'!AA15-'SW CC no change'!AA12</f>
        <v>#VALUE!</v>
      </c>
      <c r="IQ2" s="2">
        <f>'SW CC no change'!$AB$16</f>
        <v>70931.999999999971</v>
      </c>
      <c r="IR2" s="2" t="e">
        <f ca="1">_xll.RiskOutput()+'SW CC no change'!AB15-'SW CC no change'!AB12</f>
        <v>#VALUE!</v>
      </c>
      <c r="IS2" s="2">
        <f>'SW CC no change'!$AC$16</f>
        <v>79712</v>
      </c>
      <c r="IT2" s="2" t="e">
        <f ca="1">_xll.RiskOutput()+'SW CC no change'!AC15-'SW CC no change'!AC12</f>
        <v>#VALUE!</v>
      </c>
      <c r="IU2" s="2">
        <f>'SW CC no change'!$AD$16</f>
        <v>70931.999999999971</v>
      </c>
      <c r="IV2" s="2" t="e">
        <f ca="1">_xll.RiskOutput()+'SW CC no change'!AD15-'SW CC no change'!AD12</f>
        <v>#VALUE!</v>
      </c>
      <c r="IW2" s="2">
        <f>'SW CC no change'!$AE$16</f>
        <v>62151.999999999971</v>
      </c>
      <c r="IX2" s="2" t="e">
        <f ca="1">_xll.RiskOutput()+'SW CC no change'!AE15-'SW CC no change'!AE12</f>
        <v>#VALUE!</v>
      </c>
      <c r="IY2" s="2">
        <f>'SW CC no change'!$AF$16</f>
        <v>62151.999999999971</v>
      </c>
      <c r="IZ2" s="2" t="e">
        <f ca="1">_xll.RiskOutput()+'SW CC no change'!AF15-'SW CC no change'!AF12</f>
        <v>#VALUE!</v>
      </c>
      <c r="JA2" s="1">
        <f>'SW CC no change'!$B$20</f>
        <v>1316245.0546439635</v>
      </c>
      <c r="JB2" s="2" t="e">
        <f ca="1">_xll.RiskOutput("NPV")+NPV(3%,'SW CC no change'!B16:AF16)</f>
        <v>#VALUE!</v>
      </c>
      <c r="JC2" s="1">
        <f>'SW CC no change'!$C$20</f>
        <v>1293580.4062832822</v>
      </c>
      <c r="JD2" s="2" t="e">
        <f ca="1">_xll.RiskOutput("NPV")+NPV(3%,'SW CC no change'!C16:AF16)</f>
        <v>#VALUE!</v>
      </c>
      <c r="JE2" s="1">
        <f>'SW CC no change'!$D$20</f>
        <v>1287795.818471781</v>
      </c>
      <c r="JF2" s="2" t="e">
        <f ca="1">_xll.RiskOutput("NPV")+NPV(3%,'SW CC no change'!D16:AF16)</f>
        <v>#VALUE!</v>
      </c>
      <c r="JG2" s="1">
        <f>'SW CC no change'!$E$20</f>
        <v>1281837.6930259345</v>
      </c>
      <c r="JH2" s="2" t="e">
        <f ca="1">_xll.RiskOutput("NPV")+NPV(3%,'SW CC no change'!E16:AF16)</f>
        <v>#VALUE!</v>
      </c>
      <c r="JI2" s="1">
        <f>'SW CC no change'!$F$20</f>
        <v>1266920.823816712</v>
      </c>
      <c r="JJ2" s="2" t="e">
        <f ca="1">_xll.RiskOutput("NPV")+NPV(3%,'SW CC no change'!F16:AF16)</f>
        <v>#VALUE!</v>
      </c>
      <c r="JK2" s="1">
        <f>'SW CC no change'!$G$20</f>
        <v>1242776.4485312137</v>
      </c>
      <c r="JL2" s="2" t="e">
        <f ca="1">_xll.RiskOutput("NPV")+NPV(3%,'SW CC no change'!G16:AF16)</f>
        <v>#VALUE!</v>
      </c>
      <c r="JM2" s="1">
        <f>'SW CC no change'!$H$20</f>
        <v>1226687.7419871502</v>
      </c>
      <c r="JN2" s="2" t="e">
        <f ca="1">_xll.RiskOutput("NPV")+NPV(3%,'SW CC no change'!H16:AF16)</f>
        <v>#VALUE!</v>
      </c>
      <c r="JO2" s="1">
        <f>'SW CC no change'!$I$20</f>
        <v>1183776.3742467649</v>
      </c>
      <c r="JP2" s="2" t="e">
        <f ca="1">_xll.RiskOutput("NPV")+NPV(3%,'SW CC no change'!I16:AF16)</f>
        <v>#VALUE!</v>
      </c>
      <c r="JQ2" s="1">
        <f>'SW CC no change'!$J$20</f>
        <v>1157137.6654741678</v>
      </c>
      <c r="JR2" s="2" t="e">
        <f ca="1">_xll.RiskOutput("NPV")+NPV(3%,'SW CC no change'!J16:AF16)</f>
        <v>#VALUE!</v>
      </c>
      <c r="JS2" s="1">
        <f>'SW CC no change'!$K$20</f>
        <v>1138479.7954383933</v>
      </c>
      <c r="JT2" s="2" t="e">
        <f ca="1">_xll.RiskOutput("NPV")+NPV(3%,'SW CC no change'!K16:AF16)</f>
        <v>#VALUE!</v>
      </c>
      <c r="JU2" s="1">
        <f>'SW CC no change'!$L$20</f>
        <v>1084142.1893015448</v>
      </c>
      <c r="JV2" s="2" t="e">
        <f ca="1">_xll.RiskOutput("NPV")+NPV(3%,'SW CC no change'!L16:AO16)</f>
        <v>#VALUE!</v>
      </c>
      <c r="JW2" s="1">
        <f>'SW CC no change'!$M$20</f>
        <v>1010614.4549805912</v>
      </c>
      <c r="JX2" s="2" t="e">
        <f ca="1">_xll.RiskOutput("NPV")+NPV(3%,'SW CC no change'!M16:AP16)</f>
        <v>#VALUE!</v>
      </c>
      <c r="JY2" s="1">
        <f>'SW CC no change'!$N$20</f>
        <v>961220.88863000879</v>
      </c>
      <c r="JZ2" s="2" t="e">
        <f ca="1">_xll.RiskOutput("NPV")+NPV(3%,'SW CC no change'!N16:AQ16)</f>
        <v>#VALUE!</v>
      </c>
      <c r="KA2" s="1">
        <f>'SW CC no change'!$O$20</f>
        <v>927905.5152889092</v>
      </c>
      <c r="KB2" s="2" t="e">
        <f ca="1">_xll.RiskOutput("NPV")+NPV(3%,'SW CC no change'!O16:AR16)</f>
        <v>#VALUE!</v>
      </c>
      <c r="KC2" s="1">
        <f>'SW CC no change'!$P$20</f>
        <v>911150.68074757641</v>
      </c>
      <c r="KD2" s="2" t="e">
        <f ca="1">_xll.RiskOutput("NPV")+NPV(3%,'SW CC no change'!P16:AS16)</f>
        <v>#VALUE!</v>
      </c>
      <c r="KE2" s="1">
        <f>'SW CC no change'!$Q$20</f>
        <v>885113.20117000386</v>
      </c>
      <c r="KF2" s="2" t="e">
        <f ca="1">_xll.RiskOutput("NPV")+NPV(3%,'SW CC no change'!Q16:AT16)</f>
        <v>#VALUE!</v>
      </c>
      <c r="KG2" s="1">
        <f>'SW CC no change'!$R$20</f>
        <v>840734.59720510407</v>
      </c>
      <c r="KH2" s="2" t="e">
        <f ca="1">_xll.RiskOutput("NPV")+NPV(3%,'SW CC no change'!R16:AU16)</f>
        <v>#VALUE!</v>
      </c>
      <c r="KI2" s="1">
        <f>'SW CC no change'!$S$20</f>
        <v>795024.63512125704</v>
      </c>
      <c r="KJ2" s="2" t="e">
        <f ca="1">_xll.RiskOutput("NPV")+NPV(3%,'SW CC no change'!S16:AV16)</f>
        <v>#VALUE!</v>
      </c>
      <c r="KK2" s="1">
        <f>'SW CC no change'!$T$20</f>
        <v>756723.374174895</v>
      </c>
      <c r="KL2" s="2" t="e">
        <f ca="1">_xll.RiskOutput("NPV")+NPV(3%,'SW CC no change'!T16:AW16)</f>
        <v>#VALUE!</v>
      </c>
      <c r="KM2" s="1">
        <f>'SW CC no change'!$U$20</f>
        <v>699713.07540014165</v>
      </c>
      <c r="KN2" s="2" t="e">
        <f ca="1">_xll.RiskOutput("NPV")+NPV(3%,'SW CC no change'!U16:AX16)</f>
        <v>#VALUE!</v>
      </c>
      <c r="KO2" s="1">
        <f>'SW CC no change'!$V$20</f>
        <v>632212.46766214597</v>
      </c>
      <c r="KP2" s="2" t="e">
        <f ca="1">_xll.RiskOutput("NPV")+NPV(3%,'SW CC no change'!V16:AY16)</f>
        <v>#VALUE!</v>
      </c>
      <c r="KQ2" s="1">
        <f>'SW CC no change'!$W$20</f>
        <v>580246.84169201052</v>
      </c>
      <c r="KR2" s="2" t="e">
        <f ca="1">_xll.RiskOutput("NPV")+NPV(3%,'SW CC no change'!W16:AZ16)</f>
        <v>#VALUE!</v>
      </c>
      <c r="KS2" s="1">
        <f>'SW CC no change'!$X$20</f>
        <v>544282.24694277078</v>
      </c>
      <c r="KT2" s="2" t="e">
        <f ca="1">_xll.RiskOutput("NPV")+NPV(3%,'SW CC no change'!X16:BA16)</f>
        <v>#VALUE!</v>
      </c>
      <c r="KU2" s="1">
        <f>'SW CC no change'!$Y$20</f>
        <v>516018.71435105399</v>
      </c>
      <c r="KV2" s="2" t="e">
        <f ca="1">_xll.RiskOutput("NPV")+NPV(3%,'SW CC no change'!Y16:BB16)</f>
        <v>#VALUE!</v>
      </c>
      <c r="KW2" s="1">
        <f>'SW CC no change'!$Z$20</f>
        <v>451787.2757815856</v>
      </c>
      <c r="KX2" s="2" t="e">
        <f ca="1">_xll.RiskOutput("NPV")+NPV(3%,'SW CC no change'!Z16:BC16)</f>
        <v>#VALUE!</v>
      </c>
      <c r="KY2" s="1">
        <f>'SW CC no change'!$AA$20</f>
        <v>394408.89405503322</v>
      </c>
      <c r="KZ2" s="2" t="e">
        <f ca="1">_xll.RiskOutput("NPV")+NPV(3%,'SW CC no change'!AA16:BD16)</f>
        <v>#VALUE!</v>
      </c>
      <c r="LA2" s="1">
        <f>'SW CC no change'!$AB$20</f>
        <v>317749.16087668424</v>
      </c>
      <c r="LB2" s="2" t="e">
        <f ca="1">_xll.RiskOutput("NPV")+NPV(3%,'SW CC no change'!AB16:BE16)</f>
        <v>#VALUE!</v>
      </c>
      <c r="LC2" s="1">
        <f>'SW CC no change'!$AC$20</f>
        <v>256349.63570298481</v>
      </c>
      <c r="LD2" s="2" t="e">
        <f ca="1">_xll.RiskOutput("NPV")+NPV(3%,'SW CC no change'!AC16:BF16)</f>
        <v>#VALUE!</v>
      </c>
      <c r="LE2" s="1">
        <f>'SW CC no change'!$AD$20</f>
        <v>184328.12477407433</v>
      </c>
      <c r="LF2" s="2" t="e">
        <f ca="1">_xll.RiskOutput("NPV")+NPV(3%,'SW CC no change'!AD16:BG16)</f>
        <v>#VALUE!</v>
      </c>
      <c r="LG2" s="1">
        <f>'SW CC no change'!$AE$20</f>
        <v>118925.96851729658</v>
      </c>
      <c r="LH2" s="2" t="e">
        <f ca="1">_xll.RiskOutput("NPV")+NPV(3%,'SW CC no change'!AE16:BH16)</f>
        <v>#VALUE!</v>
      </c>
      <c r="LI2" s="1">
        <f>'SW CC no change'!$AF$20</f>
        <v>60341.747572815504</v>
      </c>
      <c r="LJ2" s="2" t="e">
        <f ca="1">_xll.RiskOutput("NPV")+NPV(3%,'SW CC no change'!AF16:BI16)</f>
        <v>#VALUE!</v>
      </c>
      <c r="LK2">
        <f>'SW SF no change'!$B$8</f>
        <v>34.4</v>
      </c>
      <c r="LL2" t="e">
        <f ca="1">RiskValStatic('SW SF no change'!B7)+_xll.RiskNormal('SW SF no change'!B7,4,_xll.RiskStatic('SW SF no change'!B7))</f>
        <v>#NAME?</v>
      </c>
      <c r="LM2">
        <f>'SW SF no change'!$C$8</f>
        <v>34.4</v>
      </c>
      <c r="LN2" t="e">
        <f ca="1">RiskValStatic('SW SF no change'!C7)+_xll.RiskNormal('SW SF no change'!C7,4,_xll.RiskStatic('SW SF no change'!C7))</f>
        <v>#NAME?</v>
      </c>
      <c r="LO2">
        <f>'SW SF no change'!$D$8</f>
        <v>32.4</v>
      </c>
      <c r="LP2" t="e">
        <f ca="1">RiskValStatic('SW SF no change'!D7)+_xll.RiskNormal('SW SF no change'!D7,4,_xll.RiskStatic('SW SF no change'!D7))</f>
        <v>#NAME?</v>
      </c>
      <c r="LQ2">
        <f>'SW SF no change'!$E$8</f>
        <v>33.4</v>
      </c>
      <c r="LR2" t="e">
        <f ca="1">RiskValStatic('SW SF no change'!E7)+_xll.RiskNormal('SW SF no change'!E7,4,_xll.RiskStatic('SW SF no change'!E7))</f>
        <v>#NAME?</v>
      </c>
      <c r="LS2">
        <f>'SW SF no change'!$F$8</f>
        <v>34.4</v>
      </c>
      <c r="LT2" t="e">
        <f ca="1">RiskValStatic('SW SF no change'!F7)+_xll.RiskNormal('SW SF no change'!F7,4,_xll.RiskStatic('SW SF no change'!F7))</f>
        <v>#NAME?</v>
      </c>
      <c r="LU2">
        <f>'SW SF no change'!$G$8</f>
        <v>33.4</v>
      </c>
      <c r="LV2" t="e">
        <f ca="1">RiskValStatic('SW SF no change'!G7)+_xll.RiskNormal('SW SF no change'!G7,4,_xll.RiskStatic('SW SF no change'!G7))</f>
        <v>#NAME?</v>
      </c>
      <c r="LW2">
        <f>'SW SF no change'!$H$8</f>
        <v>36.4</v>
      </c>
      <c r="LX2" t="e">
        <f ca="1">RiskValStatic('SW SF no change'!H7)+_xll.RiskNormal('SW SF no change'!H7,4,_xll.RiskStatic('SW SF no change'!H7))</f>
        <v>#NAME?</v>
      </c>
      <c r="LY2">
        <f>'SW SF no change'!$I$8</f>
        <v>34.4</v>
      </c>
      <c r="LZ2" t="e">
        <f ca="1">RiskValStatic('SW SF no change'!I7)+_xll.RiskNormal('SW SF no change'!I7,4,_xll.RiskStatic('SW SF no change'!I7))</f>
        <v>#NAME?</v>
      </c>
      <c r="MA2">
        <f>'SW SF no change'!$J$8</f>
        <v>33.4</v>
      </c>
      <c r="MB2" t="e">
        <f ca="1">RiskValStatic('SW SF no change'!J7)+_xll.RiskNormal('SW SF no change'!J7,4,_xll.RiskStatic('SW SF no change'!J7))</f>
        <v>#NAME?</v>
      </c>
      <c r="MC2">
        <f>'SW SF no change'!$K$8</f>
        <v>37.4</v>
      </c>
      <c r="MD2" t="e">
        <f ca="1">RiskValStatic('SW SF no change'!K7)+_xll.RiskNormal('SW SF no change'!K7,4,_xll.RiskStatic('SW SF no change'!K7))</f>
        <v>#NAME?</v>
      </c>
      <c r="ME2">
        <f>'SW SF no change'!$L$8</f>
        <v>39.4</v>
      </c>
      <c r="MF2" t="e">
        <f ca="1">RiskValStatic('SW SF no change'!L7)+_xll.RiskNormal('SW SF no change'!L7,4,_xll.RiskStatic('SW SF no change'!L7))</f>
        <v>#NAME?</v>
      </c>
      <c r="MG2">
        <f>'SW SF no change'!$M$8</f>
        <v>36.4</v>
      </c>
      <c r="MH2" t="e">
        <f ca="1">RiskValStatic('SW SF no change'!M7)+_xll.RiskNormal('SW SF no change'!M7,4,_xll.RiskStatic('SW SF no change'!M7))</f>
        <v>#NAME?</v>
      </c>
      <c r="MI2">
        <f>'SW SF no change'!$N$8</f>
        <v>34.4</v>
      </c>
      <c r="MJ2" t="e">
        <f ca="1">RiskValStatic('SW SF no change'!N7)+_xll.RiskNormal('SW SF no change'!N7,4,_xll.RiskStatic('SW SF no change'!N7))</f>
        <v>#NAME?</v>
      </c>
      <c r="MK2">
        <f>'SW SF no change'!$O$8</f>
        <v>32.4</v>
      </c>
      <c r="ML2" t="e">
        <f ca="1">RiskValStatic('SW SF no change'!O7)+_xll.RiskNormal('SW SF no change'!O7,4,_xll.RiskStatic('SW SF no change'!O7))</f>
        <v>#NAME?</v>
      </c>
      <c r="MM2">
        <f>'SW SF no change'!$P$8</f>
        <v>33.4</v>
      </c>
      <c r="MN2" t="e">
        <f ca="1">RiskValStatic('SW SF no change'!P7)+_xll.RiskNormal('SW SF no change'!P7,4,_xll.RiskStatic('SW SF no change'!P7))</f>
        <v>#NAME?</v>
      </c>
      <c r="MO2">
        <f>'SW SF no change'!$Q$8</f>
        <v>35.4</v>
      </c>
      <c r="MP2" t="e">
        <f ca="1">RiskValStatic('SW SF no change'!Q7)+_xll.RiskNormal('SW SF no change'!Q7,4,_xll.RiskStatic('SW SF no change'!Q7))</f>
        <v>#NAME?</v>
      </c>
      <c r="MQ2">
        <f>'SW SF no change'!$R$8</f>
        <v>35.4</v>
      </c>
      <c r="MR2" t="e">
        <f ca="1">RiskValStatic('SW SF no change'!R7)+_xll.RiskNormal('SW SF no change'!R7,4,_xll.RiskStatic('SW SF no change'!R7))</f>
        <v>#NAME?</v>
      </c>
      <c r="MS2">
        <f>'SW SF no change'!$S$8</f>
        <v>34.4</v>
      </c>
      <c r="MT2" t="e">
        <f ca="1">RiskValStatic('SW SF no change'!S7)+_xll.RiskNormal('SW SF no change'!S7,4,_xll.RiskStatic('SW SF no change'!S7))</f>
        <v>#NAME?</v>
      </c>
      <c r="MU2">
        <f>'SW SF no change'!$T$8</f>
        <v>36.4</v>
      </c>
      <c r="MV2" t="e">
        <f ca="1">RiskValStatic('SW SF no change'!T7)+_xll.RiskNormal('SW SF no change'!T7,4,_xll.RiskStatic('SW SF no change'!T7))</f>
        <v>#NAME?</v>
      </c>
      <c r="MW2">
        <f>'SW SF no change'!$U$8</f>
        <v>37.4</v>
      </c>
      <c r="MX2" t="e">
        <f ca="1">RiskValStatic('SW SF no change'!U7)+_xll.RiskNormal('SW SF no change'!U7,4,_xll.RiskStatic('SW SF no change'!U7))</f>
        <v>#NAME?</v>
      </c>
      <c r="MY2">
        <f>'SW SF no change'!$V$8</f>
        <v>35.4</v>
      </c>
      <c r="MZ2" t="e">
        <f ca="1">RiskValStatic('SW SF no change'!V7)+_xll.RiskNormal('SW SF no change'!V7,4,_xll.RiskStatic('SW SF no change'!V7))</f>
        <v>#NAME?</v>
      </c>
      <c r="NA2">
        <f>'SW SF no change'!$W$8</f>
        <v>33.4</v>
      </c>
      <c r="NB2" t="e">
        <f ca="1">RiskValStatic('SW SF no change'!W7)+_xll.RiskNormal('SW SF no change'!W7,4,_xll.RiskStatic('SW SF no change'!W7))</f>
        <v>#NAME?</v>
      </c>
      <c r="NC2">
        <f>'SW SF no change'!$X$8</f>
        <v>32.4</v>
      </c>
      <c r="ND2" t="e">
        <f ca="1">RiskValStatic('SW SF no change'!X7)+_xll.RiskNormal('SW SF no change'!X7,4,_xll.RiskStatic('SW SF no change'!X7))</f>
        <v>#NAME?</v>
      </c>
      <c r="NE2">
        <f>'SW SF no change'!$Y$8</f>
        <v>36.4</v>
      </c>
      <c r="NF2" t="e">
        <f ca="1">RiskValStatic('SW SF no change'!Y7)+_xll.RiskNormal('SW SF no change'!Y7,4,_xll.RiskStatic('SW SF no change'!Y7))</f>
        <v>#NAME?</v>
      </c>
      <c r="NG2">
        <f>'SW SF no change'!$Z$8</f>
        <v>35.4</v>
      </c>
      <c r="NH2" t="e">
        <f ca="1">RiskValStatic('SW SF no change'!Z7)+_xll.RiskNormal('SW SF no change'!Z7,4,_xll.RiskStatic('SW SF no change'!Z7))</f>
        <v>#NAME?</v>
      </c>
      <c r="NI2">
        <f>'SW SF no change'!$AA$8</f>
        <v>37.4</v>
      </c>
      <c r="NJ2" t="e">
        <f ca="1">RiskValStatic('SW SF no change'!AA7)+_xll.RiskNormal('SW SF no change'!AA7,4,_xll.RiskStatic('SW SF no change'!AA7))</f>
        <v>#NAME?</v>
      </c>
      <c r="NK2">
        <f>'SW SF no change'!$AB$8</f>
        <v>35.4</v>
      </c>
      <c r="NL2" t="e">
        <f ca="1">RiskValStatic('SW SF no change'!AB7)+_xll.RiskNormal('SW SF no change'!AB7,4,_xll.RiskStatic('SW SF no change'!AB7))</f>
        <v>#NAME?</v>
      </c>
      <c r="NM2">
        <f>'SW SF no change'!$AC$8</f>
        <v>36.4</v>
      </c>
      <c r="NN2" t="e">
        <f ca="1">RiskValStatic('SW SF no change'!AC7)+_xll.RiskNormal('SW SF no change'!AC7,4,_xll.RiskStatic('SW SF no change'!AC7))</f>
        <v>#NAME?</v>
      </c>
      <c r="NO2">
        <f>'SW SF no change'!$AD$8</f>
        <v>35.4</v>
      </c>
      <c r="NP2" t="e">
        <f ca="1">RiskValStatic('SW SF no change'!AD7)+_xll.RiskNormal('SW SF no change'!AD7,4,_xll.RiskStatic('SW SF no change'!AD7))</f>
        <v>#NAME?</v>
      </c>
      <c r="NQ2">
        <f>'SW SF no change'!$AE$8</f>
        <v>34.4</v>
      </c>
      <c r="NR2" t="e">
        <f ca="1">RiskValStatic('SW SF no change'!AE7)+_xll.RiskNormal('SW SF no change'!AE7,4,_xll.RiskStatic('SW SF no change'!AE7))</f>
        <v>#NAME?</v>
      </c>
      <c r="NS2">
        <f>'SW SF no change'!$AF$8</f>
        <v>34.4</v>
      </c>
      <c r="NT2" t="e">
        <f ca="1">RiskValStatic('SW SF no change'!AF7)+_xll.RiskNormal('SW SF no change'!AF7,4,_xll.RiskStatic('SW SF no change'!AF7))</f>
        <v>#NAME?</v>
      </c>
      <c r="NU2" s="2">
        <f>'SW SF no change'!$B$13</f>
        <v>4.3899999999999997</v>
      </c>
      <c r="NV2" t="e">
        <f ca="1">RiskValStatic(4.39)+_xll.RiskNormal(4.39,2.5,_xll.RiskShift(0),_xll.RiskStatic(4.39))</f>
        <v>#NAME?</v>
      </c>
      <c r="NW2" s="2">
        <f>'SW SF no change'!$C$13</f>
        <v>4.3899999999999997</v>
      </c>
      <c r="NX2" t="e">
        <f ca="1">RiskValStatic(4.39)+_xll.RiskNormal(4.39,2.5,_xll.RiskShift(0),_xll.RiskStatic(4.39))</f>
        <v>#NAME?</v>
      </c>
      <c r="NY2" s="2">
        <f>'SW SF no change'!$D$13</f>
        <v>4.3899999999999997</v>
      </c>
      <c r="NZ2" t="e">
        <f ca="1">RiskValStatic(4.39)+_xll.RiskNormal(4.39,2.5,_xll.RiskShift(0),_xll.RiskStatic(4.39))</f>
        <v>#NAME?</v>
      </c>
      <c r="OA2" s="2">
        <f>'SW SF no change'!$E$13</f>
        <v>4.3899999999999997</v>
      </c>
      <c r="OB2" t="e">
        <f ca="1">RiskValStatic(4.39)+_xll.RiskNormal(4.39,2.5,_xll.RiskShift(0),_xll.RiskStatic(4.39))</f>
        <v>#NAME?</v>
      </c>
      <c r="OC2" s="2">
        <f>'SW SF no change'!$F$13</f>
        <v>4.3899999999999997</v>
      </c>
      <c r="OD2" t="e">
        <f ca="1">RiskValStatic(4.39)+_xll.RiskNormal(4.39,2.5,_xll.RiskShift(0),_xll.RiskStatic(4.39))</f>
        <v>#NAME?</v>
      </c>
      <c r="OE2" s="2">
        <f>'SW SF no change'!$G$13</f>
        <v>4.3899999999999997</v>
      </c>
      <c r="OF2" t="e">
        <f ca="1">RiskValStatic(4.39)+_xll.RiskNormal(4.39,2.5,_xll.RiskShift(0),_xll.RiskStatic(4.39))</f>
        <v>#NAME?</v>
      </c>
      <c r="OG2" s="2">
        <f>'SW SF no change'!$H$13</f>
        <v>4.3899999999999997</v>
      </c>
      <c r="OH2" t="e">
        <f ca="1">RiskValStatic(4.39)+_xll.RiskNormal(4.39,2.5,_xll.RiskShift(0),_xll.RiskStatic(4.39))</f>
        <v>#NAME?</v>
      </c>
      <c r="OI2" s="2">
        <f>'SW SF no change'!$I$13</f>
        <v>4.3899999999999997</v>
      </c>
      <c r="OJ2" t="e">
        <f ca="1">RiskValStatic(4.39)+_xll.RiskNormal(4.39,2.5,_xll.RiskShift(0),_xll.RiskStatic(4.39))</f>
        <v>#NAME?</v>
      </c>
      <c r="OK2" s="2">
        <f>'SW SF no change'!$J$13</f>
        <v>4.3899999999999997</v>
      </c>
      <c r="OL2" t="e">
        <f ca="1">RiskValStatic(4.39)+_xll.RiskNormal(4.39,2.5,_xll.RiskShift(0),_xll.RiskStatic(4.39))</f>
        <v>#NAME?</v>
      </c>
      <c r="OM2" s="2">
        <f>'SW SF no change'!$K$13</f>
        <v>4.3899999999999997</v>
      </c>
      <c r="ON2" t="e">
        <f ca="1">RiskValStatic(4.39)+_xll.RiskNormal(4.39,2.5,_xll.RiskShift(0),_xll.RiskStatic(4.39))</f>
        <v>#NAME?</v>
      </c>
      <c r="OO2" s="2">
        <f>'SW SF no change'!$L$13</f>
        <v>4.3899999999999997</v>
      </c>
      <c r="OP2" t="e">
        <f ca="1">RiskValStatic(4.39)+_xll.RiskNormal(4.39,2.5,_xll.RiskShift(0),_xll.RiskStatic(4.39))</f>
        <v>#NAME?</v>
      </c>
      <c r="OQ2" s="2">
        <f>'SW SF no change'!$M$13</f>
        <v>4.3899999999999997</v>
      </c>
      <c r="OR2" t="e">
        <f ca="1">RiskValStatic(4.39)+_xll.RiskNormal(4.39,2.5,_xll.RiskShift(0),_xll.RiskStatic(4.39))</f>
        <v>#NAME?</v>
      </c>
      <c r="OS2" s="2">
        <f>'SW SF no change'!$N$13</f>
        <v>4.3899999999999997</v>
      </c>
      <c r="OT2" t="e">
        <f ca="1">RiskValStatic(4.39)+_xll.RiskNormal(4.39,2.5,_xll.RiskShift(0),_xll.RiskStatic(4.39))</f>
        <v>#NAME?</v>
      </c>
      <c r="OU2" s="2">
        <f>'SW SF no change'!$O$13</f>
        <v>4.3899999999999997</v>
      </c>
      <c r="OV2" t="e">
        <f ca="1">RiskValStatic(4.39)+_xll.RiskNormal(4.39,2.5,_xll.RiskShift(0),_xll.RiskStatic(4.39))</f>
        <v>#NAME?</v>
      </c>
      <c r="OW2" s="2">
        <f>'SW SF no change'!$P$13</f>
        <v>4.3899999999999997</v>
      </c>
      <c r="OX2" t="e">
        <f ca="1">RiskValStatic(4.39)+_xll.RiskNormal(4.39,2.5,_xll.RiskShift(0),_xll.RiskStatic(4.39))</f>
        <v>#NAME?</v>
      </c>
      <c r="OY2" s="2">
        <f>'SW SF no change'!$Q$13</f>
        <v>4.3899999999999997</v>
      </c>
      <c r="OZ2" t="e">
        <f ca="1">RiskValStatic(4.39)+_xll.RiskNormal(4.39,2.5,_xll.RiskShift(0),_xll.RiskStatic(4.39))</f>
        <v>#NAME?</v>
      </c>
      <c r="PA2" s="2">
        <f>'SW SF no change'!$R$13</f>
        <v>4.3899999999999997</v>
      </c>
      <c r="PB2" t="e">
        <f ca="1">RiskValStatic(4.39)+_xll.RiskNormal(4.39,2.5,_xll.RiskShift(0),_xll.RiskStatic(4.39))</f>
        <v>#NAME?</v>
      </c>
      <c r="PC2" s="2">
        <f>'SW SF no change'!$S$13</f>
        <v>4.3899999999999997</v>
      </c>
      <c r="PD2" t="e">
        <f ca="1">RiskValStatic(4.39)+_xll.RiskNormal(4.39,2.5,_xll.RiskShift(0),_xll.RiskStatic(4.39))</f>
        <v>#NAME?</v>
      </c>
      <c r="PE2" s="2">
        <f>'SW SF no change'!$T$13</f>
        <v>4.3899999999999997</v>
      </c>
      <c r="PF2" t="e">
        <f ca="1">RiskValStatic(4.39)+_xll.RiskNormal(4.39,2.5,_xll.RiskShift(0),_xll.RiskStatic(4.39))</f>
        <v>#NAME?</v>
      </c>
      <c r="PG2" s="2">
        <f>'SW SF no change'!$U$13</f>
        <v>4.3899999999999997</v>
      </c>
      <c r="PH2" t="e">
        <f ca="1">RiskValStatic(4.39)+_xll.RiskNormal(4.39,2.5,_xll.RiskShift(0),_xll.RiskStatic(4.39))</f>
        <v>#NAME?</v>
      </c>
      <c r="PI2" s="2">
        <f>'SW SF no change'!$V$13</f>
        <v>4.3899999999999997</v>
      </c>
      <c r="PJ2" t="e">
        <f ca="1">RiskValStatic(4.39)+_xll.RiskNormal(4.39,2.5,_xll.RiskShift(0),_xll.RiskStatic(4.39))</f>
        <v>#NAME?</v>
      </c>
      <c r="PK2" s="2">
        <f>'SW SF no change'!$W$13</f>
        <v>4.3899999999999997</v>
      </c>
      <c r="PL2" t="e">
        <f ca="1">RiskValStatic(4.39)+_xll.RiskNormal(4.39,2.5,_xll.RiskShift(0),_xll.RiskStatic(4.39))</f>
        <v>#NAME?</v>
      </c>
      <c r="PM2" s="2">
        <f>'SW SF no change'!$X$13</f>
        <v>4.3899999999999997</v>
      </c>
      <c r="PN2" t="e">
        <f ca="1">RiskValStatic(4.39)+_xll.RiskNormal(4.39,2.5,_xll.RiskShift(0),_xll.RiskStatic(4.39))</f>
        <v>#NAME?</v>
      </c>
      <c r="PO2" s="2">
        <f>'SW SF no change'!$Y$13</f>
        <v>4.3899999999999997</v>
      </c>
      <c r="PP2" t="e">
        <f ca="1">RiskValStatic(4.39)+_xll.RiskNormal(4.39,2.5,_xll.RiskShift(0),_xll.RiskStatic(4.39))</f>
        <v>#NAME?</v>
      </c>
      <c r="PQ2" s="2">
        <f>'SW SF no change'!$Z$13</f>
        <v>4.3899999999999997</v>
      </c>
      <c r="PR2" t="e">
        <f ca="1">RiskValStatic(4.39)+_xll.RiskNormal(4.39,2.5,_xll.RiskShift(0),_xll.RiskStatic(4.39))</f>
        <v>#NAME?</v>
      </c>
      <c r="PS2" s="2">
        <f>'SW SF no change'!$AA$13</f>
        <v>4.3899999999999997</v>
      </c>
      <c r="PT2" t="e">
        <f ca="1">RiskValStatic(4.39)+_xll.RiskNormal(4.39,2.5,_xll.RiskShift(0),_xll.RiskStatic(4.39))</f>
        <v>#NAME?</v>
      </c>
      <c r="PU2" s="2">
        <f>'SW SF no change'!$AB$13</f>
        <v>4.3899999999999997</v>
      </c>
      <c r="PV2" t="e">
        <f ca="1">RiskValStatic(4.39)+_xll.RiskNormal(4.39,2.5,_xll.RiskShift(0),_xll.RiskStatic(4.39))</f>
        <v>#NAME?</v>
      </c>
      <c r="PW2" s="2">
        <f>'SW SF no change'!$AC$13</f>
        <v>4.3899999999999997</v>
      </c>
      <c r="PX2" t="e">
        <f ca="1">RiskValStatic(4.39)+_xll.RiskNormal(4.39,2.5,_xll.RiskShift(0),_xll.RiskStatic(4.39))</f>
        <v>#NAME?</v>
      </c>
      <c r="PY2" s="2">
        <f>'SW SF no change'!$AD$13</f>
        <v>4.3899999999999997</v>
      </c>
      <c r="PZ2" t="e">
        <f ca="1">RiskValStatic(4.39)+_xll.RiskNormal(4.39,2.5,_xll.RiskShift(0),_xll.RiskStatic(4.39))</f>
        <v>#NAME?</v>
      </c>
      <c r="QA2" s="2">
        <f>'SW SF no change'!$AE$13</f>
        <v>4.3899999999999997</v>
      </c>
      <c r="QB2" t="e">
        <f ca="1">RiskValStatic(4.39)+_xll.RiskNormal(4.39,2.5,_xll.RiskShift(0),_xll.RiskStatic(4.39))</f>
        <v>#NAME?</v>
      </c>
      <c r="QC2" s="2">
        <f>'SW SF no change'!$AF$13</f>
        <v>4.3899999999999997</v>
      </c>
      <c r="QD2" t="e">
        <f ca="1">RiskValStatic(4.39)+_xll.RiskNormal(4.39,2.5,_xll.RiskShift(0),_xll.RiskStatic(4.39))</f>
        <v>#NAME?</v>
      </c>
      <c r="QE2" s="2">
        <f>'SW SF no change'!$B$15</f>
        <v>151016</v>
      </c>
      <c r="QF2" t="e">
        <f ca="1">_xll.RiskOutput()+'SW SF no change'!B11*'SW SF no change'!B13</f>
        <v>#VALUE!</v>
      </c>
      <c r="QG2" s="2">
        <f>'SW SF no change'!$C$15</f>
        <v>151016</v>
      </c>
      <c r="QH2" t="e">
        <f ca="1">_xll.RiskOutput()+'SW SF no change'!C11*'SW SF no change'!C13</f>
        <v>#VALUE!</v>
      </c>
      <c r="QI2" s="2">
        <f>'SW SF no change'!$D$15</f>
        <v>142236</v>
      </c>
      <c r="QJ2" t="e">
        <f ca="1">_xll.RiskOutput()+'SW SF no change'!D11*'SW SF no change'!D13</f>
        <v>#VALUE!</v>
      </c>
      <c r="QK2" s="2">
        <f>'SW SF no change'!$E$15</f>
        <v>146626</v>
      </c>
      <c r="QL2" t="e">
        <f ca="1">_xll.RiskOutput()+'SW SF no change'!E11*'SW SF no change'!E13</f>
        <v>#VALUE!</v>
      </c>
      <c r="QM2" s="2">
        <f>'SW SF no change'!$F$15</f>
        <v>151016</v>
      </c>
      <c r="QN2" t="e">
        <f ca="1">_xll.RiskOutput()+'SW SF no change'!F11*'SW SF no change'!F13</f>
        <v>#VALUE!</v>
      </c>
      <c r="QO2" s="2">
        <f>'SW SF no change'!$G$15</f>
        <v>146626</v>
      </c>
      <c r="QP2" t="e">
        <f ca="1">_xll.RiskOutput()+'SW SF no change'!G11*'SW SF no change'!G13</f>
        <v>#VALUE!</v>
      </c>
      <c r="QQ2" s="2">
        <f>'SW SF no change'!$H$15</f>
        <v>159796</v>
      </c>
      <c r="QR2" t="e">
        <f ca="1">_xll.RiskOutput()+'SW SF no change'!H11*'SW SF no change'!H13</f>
        <v>#VALUE!</v>
      </c>
      <c r="QS2" s="2">
        <f>'SW SF no change'!$I$15</f>
        <v>151016</v>
      </c>
      <c r="QT2" t="e">
        <f ca="1">_xll.RiskOutput()+'SW SF no change'!I11*'SW SF no change'!I13</f>
        <v>#VALUE!</v>
      </c>
      <c r="QU2" s="2">
        <f>'SW SF no change'!$J$15</f>
        <v>146626</v>
      </c>
      <c r="QV2" t="e">
        <f ca="1">_xll.RiskOutput()+'SW SF no change'!J11*'SW SF no change'!J13</f>
        <v>#VALUE!</v>
      </c>
      <c r="QW2" s="2">
        <f>'SW SF no change'!$K$15</f>
        <v>164186</v>
      </c>
      <c r="QX2" t="e">
        <f ca="1">_xll.RiskOutput()+'SW SF no change'!K11*'SW SF no change'!K13</f>
        <v>#VALUE!</v>
      </c>
      <c r="QY2" s="2">
        <f>'SW SF no change'!$L$15</f>
        <v>172966</v>
      </c>
      <c r="QZ2" t="e">
        <f ca="1">_xll.RiskOutput()+'SW SF no change'!L11*'SW SF no change'!L13</f>
        <v>#VALUE!</v>
      </c>
      <c r="RA2" s="2">
        <f>'SW SF no change'!$M$15</f>
        <v>159796</v>
      </c>
      <c r="RB2" t="e">
        <f ca="1">_xll.RiskOutput()+'SW SF no change'!M11*'SW SF no change'!M13</f>
        <v>#VALUE!</v>
      </c>
      <c r="RC2" s="2">
        <f>'SW SF no change'!$N$15</f>
        <v>151016</v>
      </c>
      <c r="RD2" t="e">
        <f ca="1">_xll.RiskOutput()+'SW SF no change'!N11*'SW SF no change'!N13</f>
        <v>#VALUE!</v>
      </c>
      <c r="RE2" s="2">
        <f>'SW SF no change'!$O$15</f>
        <v>142236</v>
      </c>
      <c r="RF2" t="e">
        <f ca="1">_xll.RiskOutput()+'SW SF no change'!O11*'SW SF no change'!O13</f>
        <v>#VALUE!</v>
      </c>
      <c r="RG2" s="2">
        <f>'SW SF no change'!$P$15</f>
        <v>146626</v>
      </c>
      <c r="RH2" t="e">
        <f ca="1">_xll.RiskOutput()+'SW SF no change'!P11*'SW SF no change'!P13</f>
        <v>#VALUE!</v>
      </c>
      <c r="RI2" s="2">
        <f>'SW SF no change'!$Q$15</f>
        <v>155406</v>
      </c>
      <c r="RJ2" t="e">
        <f ca="1">_xll.RiskOutput()+'SW SF no change'!Q11*'SW SF no change'!Q13</f>
        <v>#VALUE!</v>
      </c>
      <c r="RK2" s="2">
        <f>'SW SF no change'!$R$15</f>
        <v>155406</v>
      </c>
      <c r="RL2" t="e">
        <f ca="1">_xll.RiskOutput()+'SW SF no change'!R11*'SW SF no change'!R13</f>
        <v>#VALUE!</v>
      </c>
      <c r="RM2" s="2">
        <f>'SW SF no change'!$S$15</f>
        <v>151016</v>
      </c>
      <c r="RN2" t="e">
        <f ca="1">_xll.RiskOutput()+'SW SF no change'!S11*'SW SF no change'!S13</f>
        <v>#VALUE!</v>
      </c>
      <c r="RO2" s="2">
        <f>'SW SF no change'!$T$15</f>
        <v>159796</v>
      </c>
      <c r="RP2" t="e">
        <f ca="1">_xll.RiskOutput()+'SW SF no change'!T11*'SW SF no change'!T13</f>
        <v>#VALUE!</v>
      </c>
      <c r="RQ2" s="2">
        <f>'SW SF no change'!$U$15</f>
        <v>164186</v>
      </c>
      <c r="RR2" t="e">
        <f ca="1">_xll.RiskOutput()+'SW SF no change'!U11*'SW SF no change'!U13</f>
        <v>#VALUE!</v>
      </c>
      <c r="RS2" s="2">
        <f>'SW SF no change'!$V$15</f>
        <v>155406</v>
      </c>
      <c r="RT2" t="e">
        <f ca="1">_xll.RiskOutput()+'SW SF no change'!V11*'SW SF no change'!V13</f>
        <v>#VALUE!</v>
      </c>
      <c r="RU2" s="2">
        <f>'SW SF no change'!$W$15</f>
        <v>146626</v>
      </c>
      <c r="RV2" t="e">
        <f ca="1">_xll.RiskOutput()+'SW SF no change'!W11*'SW SF no change'!W13</f>
        <v>#VALUE!</v>
      </c>
      <c r="RW2" s="2">
        <f>'SW SF no change'!$X$15</f>
        <v>142236</v>
      </c>
      <c r="RX2" t="e">
        <f ca="1">_xll.RiskOutput()+'SW SF no change'!X11*'SW SF no change'!X13</f>
        <v>#VALUE!</v>
      </c>
      <c r="RY2" s="2">
        <f>'SW SF no change'!$Y$15</f>
        <v>159796</v>
      </c>
      <c r="RZ2" t="e">
        <f ca="1">_xll.RiskOutput()+'SW SF no change'!Y11*'SW SF no change'!Y13</f>
        <v>#VALUE!</v>
      </c>
      <c r="SA2" s="2">
        <f>'SW SF no change'!$Z$15</f>
        <v>155406</v>
      </c>
      <c r="SB2" t="e">
        <f ca="1">_xll.RiskOutput()+'SW SF no change'!Z11*'SW SF no change'!Z13</f>
        <v>#VALUE!</v>
      </c>
      <c r="SC2" s="2">
        <f>'SW SF no change'!$AA$15</f>
        <v>164186</v>
      </c>
      <c r="SD2" t="e">
        <f ca="1">_xll.RiskOutput()+'SW SF no change'!AA11*'SW SF no change'!AA13</f>
        <v>#VALUE!</v>
      </c>
      <c r="SE2" s="2">
        <f>'SW SF no change'!$AB$15</f>
        <v>155406</v>
      </c>
      <c r="SF2" t="e">
        <f ca="1">_xll.RiskOutput()+'SW SF no change'!AB11*'SW SF no change'!AB13</f>
        <v>#VALUE!</v>
      </c>
      <c r="SG2" s="2">
        <f>'SW SF no change'!$AC$15</f>
        <v>159796</v>
      </c>
      <c r="SH2" t="e">
        <f ca="1">_xll.RiskOutput()+'SW SF no change'!AC11*'SW SF no change'!AC13</f>
        <v>#VALUE!</v>
      </c>
      <c r="SI2" s="2">
        <f>'SW SF no change'!$AD$15</f>
        <v>155406</v>
      </c>
      <c r="SJ2" t="e">
        <f ca="1">_xll.RiskOutput()+'SW SF no change'!AD11*'SW SF no change'!AD13</f>
        <v>#VALUE!</v>
      </c>
      <c r="SK2" s="2">
        <f>'SW SF no change'!$AE$15</f>
        <v>151016</v>
      </c>
      <c r="SL2" t="e">
        <f ca="1">_xll.RiskOutput()+'SW SF no change'!AE11*'SW SF no change'!AE13</f>
        <v>#VALUE!</v>
      </c>
      <c r="SM2" s="2">
        <f>'SW SF no change'!$AF$15</f>
        <v>151016</v>
      </c>
      <c r="SN2" t="e">
        <f ca="1">_xll.RiskOutput()+'SW SF no change'!AF11*'SW SF no change'!AF13</f>
        <v>#VALUE!</v>
      </c>
      <c r="SO2" s="2">
        <f>'SW SF no change'!$B$16</f>
        <v>40516</v>
      </c>
      <c r="SP2" s="2" t="e">
        <f ca="1">_xll.RiskOutput()+'SW SF no change'!B15-'SW SF no change'!B12</f>
        <v>#VALUE!</v>
      </c>
      <c r="SQ2" s="2">
        <f>'SW SF no change'!$C$16</f>
        <v>40516</v>
      </c>
      <c r="SR2" s="2" t="e">
        <f ca="1">_xll.RiskOutput()+'SW SF no change'!C15-'SW SF no change'!C12</f>
        <v>#VALUE!</v>
      </c>
      <c r="SS2" s="2">
        <f>'SW SF no change'!$D$16</f>
        <v>31736</v>
      </c>
      <c r="ST2" s="2" t="e">
        <f ca="1">_xll.RiskOutput()+'SW SF no change'!D15-'SW SF no change'!D12</f>
        <v>#VALUE!</v>
      </c>
      <c r="SU2" s="2">
        <f>'SW SF no change'!$E$16</f>
        <v>36126</v>
      </c>
      <c r="SV2" s="2" t="e">
        <f ca="1">_xll.RiskOutput()+'SW SF no change'!E15-'SW SF no change'!E12</f>
        <v>#VALUE!</v>
      </c>
      <c r="SW2" s="2">
        <f>'SW SF no change'!$F$16</f>
        <v>40516</v>
      </c>
      <c r="SX2" s="2" t="e">
        <f ca="1">_xll.RiskOutput()+'SW SF no change'!F15-'SW SF no change'!F12</f>
        <v>#VALUE!</v>
      </c>
      <c r="SY2" s="2">
        <f>'SW SF no change'!$G$16</f>
        <v>36126</v>
      </c>
      <c r="SZ2" s="2" t="e">
        <f ca="1">_xll.RiskOutput()+'SW SF no change'!G15-'SW SF no change'!G12</f>
        <v>#VALUE!</v>
      </c>
      <c r="TA2" s="2">
        <f>'SW SF no change'!$H$16</f>
        <v>49296</v>
      </c>
      <c r="TB2" s="2" t="e">
        <f ca="1">_xll.RiskOutput()+'SW SF no change'!H15-'SW SF no change'!H12</f>
        <v>#VALUE!</v>
      </c>
      <c r="TC2" s="2">
        <f>'SW SF no change'!$I$16</f>
        <v>40516</v>
      </c>
      <c r="TD2" s="2" t="e">
        <f ca="1">_xll.RiskOutput()+'SW SF no change'!I15-'SW SF no change'!I12</f>
        <v>#VALUE!</v>
      </c>
      <c r="TE2" s="2">
        <f>'SW SF no change'!$J$16</f>
        <v>36126</v>
      </c>
      <c r="TF2" s="2" t="e">
        <f ca="1">_xll.RiskOutput()+'SW SF no change'!J15-'SW SF no change'!J12</f>
        <v>#VALUE!</v>
      </c>
      <c r="TG2" s="2">
        <f>'SW SF no change'!$K$16</f>
        <v>53686</v>
      </c>
      <c r="TH2" s="2" t="e">
        <f ca="1">_xll.RiskOutput()+'SW SF no change'!K15-'SW SF no change'!K12</f>
        <v>#VALUE!</v>
      </c>
      <c r="TI2" s="2">
        <f>'SW SF no change'!$L$16</f>
        <v>62466</v>
      </c>
      <c r="TJ2" s="2" t="e">
        <f ca="1">_xll.RiskOutput()+'SW SF no change'!L15-'SW SF no change'!L12</f>
        <v>#VALUE!</v>
      </c>
      <c r="TK2" s="2">
        <f>'SW SF no change'!$M$16</f>
        <v>49296</v>
      </c>
      <c r="TL2" s="2" t="e">
        <f ca="1">_xll.RiskOutput()+'SW SF no change'!M15-'SW SF no change'!M12</f>
        <v>#VALUE!</v>
      </c>
      <c r="TM2" s="2">
        <f>'SW SF no change'!$N$16</f>
        <v>40516</v>
      </c>
      <c r="TN2" s="2" t="e">
        <f ca="1">_xll.RiskOutput()+'SW SF no change'!N15-'SW SF no change'!N12</f>
        <v>#VALUE!</v>
      </c>
      <c r="TO2" s="2">
        <f>'SW SF no change'!$O$16</f>
        <v>31736</v>
      </c>
      <c r="TP2" s="2" t="e">
        <f ca="1">_xll.RiskOutput()+'SW SF no change'!O15-'SW SF no change'!O12</f>
        <v>#VALUE!</v>
      </c>
      <c r="TQ2" s="2">
        <f>'SW SF no change'!$P$16</f>
        <v>36126</v>
      </c>
      <c r="TR2" s="2" t="e">
        <f ca="1">_xll.RiskOutput()+'SW SF no change'!P15-'SW SF no change'!P12</f>
        <v>#VALUE!</v>
      </c>
      <c r="TS2" s="2">
        <f>'SW SF no change'!$Q$16</f>
        <v>44906</v>
      </c>
      <c r="TT2" s="2" t="e">
        <f ca="1">_xll.RiskOutput()+'SW SF no change'!Q15-'SW SF no change'!Q12</f>
        <v>#VALUE!</v>
      </c>
      <c r="TU2" s="2">
        <f>'SW SF no change'!$R$16</f>
        <v>44906</v>
      </c>
      <c r="TV2" s="2" t="e">
        <f ca="1">_xll.RiskOutput()+'SW SF no change'!R15-'SW SF no change'!R12</f>
        <v>#VALUE!</v>
      </c>
      <c r="TW2" s="2">
        <f>'SW SF no change'!$S$16</f>
        <v>40516</v>
      </c>
      <c r="TX2" s="2" t="e">
        <f ca="1">_xll.RiskOutput()+'SW SF no change'!S15-'SW SF no change'!S12</f>
        <v>#VALUE!</v>
      </c>
      <c r="TY2" s="2">
        <f>'SW SF no change'!$T$16</f>
        <v>49296</v>
      </c>
      <c r="TZ2" s="2" t="e">
        <f ca="1">_xll.RiskOutput()+'SW SF no change'!T15-'SW SF no change'!T12</f>
        <v>#VALUE!</v>
      </c>
      <c r="UA2" s="2">
        <f>'SW SF no change'!$U$16</f>
        <v>53686</v>
      </c>
      <c r="UB2" s="2" t="e">
        <f ca="1">_xll.RiskOutput()+'SW SF no change'!U15-'SW SF no change'!U12</f>
        <v>#VALUE!</v>
      </c>
      <c r="UC2" s="2">
        <f>'SW SF no change'!$V$16</f>
        <v>44906</v>
      </c>
      <c r="UD2" s="2" t="e">
        <f ca="1">_xll.RiskOutput()+'SW SF no change'!V15-'SW SF no change'!V12</f>
        <v>#VALUE!</v>
      </c>
      <c r="UE2" s="2">
        <f>'SW SF no change'!$W$16</f>
        <v>36126</v>
      </c>
      <c r="UF2" s="2" t="e">
        <f ca="1">_xll.RiskOutput()+'SW SF no change'!W15-'SW SF no change'!W12</f>
        <v>#VALUE!</v>
      </c>
      <c r="UG2" s="2">
        <f>'SW SF no change'!$X$16</f>
        <v>31736</v>
      </c>
      <c r="UH2" s="2" t="e">
        <f ca="1">_xll.RiskOutput()+'SW SF no change'!X15-'SW SF no change'!X12</f>
        <v>#VALUE!</v>
      </c>
      <c r="UI2" s="2">
        <f>'SW SF no change'!$Y$16</f>
        <v>49296</v>
      </c>
      <c r="UJ2" s="2" t="e">
        <f ca="1">_xll.RiskOutput()+'SW SF no change'!Y15-'SW SF no change'!Y12</f>
        <v>#VALUE!</v>
      </c>
      <c r="UK2" s="2">
        <f>'SW SF no change'!$Z$16</f>
        <v>44906</v>
      </c>
      <c r="UL2" s="2" t="e">
        <f ca="1">_xll.RiskOutput()+'SW SF no change'!Z15-'SW SF no change'!Z12</f>
        <v>#VALUE!</v>
      </c>
      <c r="UM2" s="2">
        <f>'SW SF no change'!$AA$16</f>
        <v>53686</v>
      </c>
      <c r="UN2" s="2" t="e">
        <f ca="1">_xll.RiskOutput()+'SW SF no change'!AA15-'SW SF no change'!AA12</f>
        <v>#VALUE!</v>
      </c>
      <c r="UO2" s="2">
        <f>'SW SF no change'!$AB$16</f>
        <v>44906</v>
      </c>
      <c r="UP2" s="2" t="e">
        <f ca="1">_xll.RiskOutput()+'SW SF no change'!AB15-'SW SF no change'!AB12</f>
        <v>#VALUE!</v>
      </c>
      <c r="UQ2" s="2">
        <f>'SW SF no change'!$AC$16</f>
        <v>49296</v>
      </c>
      <c r="UR2" s="2" t="e">
        <f ca="1">_xll.RiskOutput()+'SW SF no change'!AC15-'SW SF no change'!AC12</f>
        <v>#VALUE!</v>
      </c>
      <c r="US2" s="2">
        <f>'SW SF no change'!$AD$16</f>
        <v>44906</v>
      </c>
      <c r="UT2" s="2" t="e">
        <f ca="1">_xll.RiskOutput()+'SW SF no change'!AD15-'SW SF no change'!AD12</f>
        <v>#VALUE!</v>
      </c>
      <c r="UU2" s="2">
        <f>'SW SF no change'!$AE$16</f>
        <v>40516</v>
      </c>
      <c r="UV2" s="2" t="e">
        <f ca="1">_xll.RiskOutput()+'SW SF no change'!AE15-'SW SF no change'!AE12</f>
        <v>#VALUE!</v>
      </c>
      <c r="UW2" s="2">
        <f>'SW SF no change'!$AF$16</f>
        <v>40516</v>
      </c>
      <c r="UX2" s="2" t="e">
        <f ca="1">_xll.RiskOutput()+'SW SF no change'!AF15-'SW SF no change'!AF12</f>
        <v>#VALUE!</v>
      </c>
      <c r="UY2" s="1">
        <f>'SW SF no change'!$B$20</f>
        <v>855202.56439349137</v>
      </c>
      <c r="UZ2" s="2" t="e">
        <f ca="1">_xll.RiskOutput("NPV")+NPV(3%,'SW SF no change'!B16:AF16)</f>
        <v>#VALUE!</v>
      </c>
      <c r="VA2" s="1">
        <f>'SW SF no change'!$C$20</f>
        <v>840342.64132529602</v>
      </c>
      <c r="VB2" s="2" t="e">
        <f ca="1">_xll.RiskOutput("NPV")+NPV(3%,'SW SF no change'!C16:AF16)</f>
        <v>#VALUE!</v>
      </c>
      <c r="VC2" s="1">
        <f>'SW SF no change'!$D$20</f>
        <v>825036.92056505487</v>
      </c>
      <c r="VD2" s="2" t="e">
        <f ca="1">_xll.RiskOutput("NPV")+NPV(3%,'SW SF no change'!D16:AF16)</f>
        <v>#VALUE!</v>
      </c>
      <c r="VE2" s="1">
        <f>'SW SF no change'!$E$20</f>
        <v>818052.02818200667</v>
      </c>
      <c r="VF2" s="2" t="e">
        <f ca="1">_xll.RiskOutput("NPV")+NPV(3%,'SW SF no change'!E16:AF16)</f>
        <v>#VALUE!</v>
      </c>
      <c r="VG2" s="1">
        <f>'SW SF no change'!$F$20</f>
        <v>806467.58902746683</v>
      </c>
      <c r="VH2" s="2" t="e">
        <f ca="1">_xll.RiskOutput("NPV")+NPV(3%,'SW SF no change'!F16:AF16)</f>
        <v>#VALUE!</v>
      </c>
      <c r="VI2" s="1">
        <f>'SW SF no change'!$G$20</f>
        <v>790145.61669829092</v>
      </c>
      <c r="VJ2" s="2" t="e">
        <f ca="1">_xll.RiskOutput("NPV")+NPV(3%,'SW SF no change'!G16:AF16)</f>
        <v>#VALUE!</v>
      </c>
      <c r="VK2" s="1">
        <f>'SW SF no change'!$H$20</f>
        <v>777723.98519923957</v>
      </c>
      <c r="VL2" s="2" t="e">
        <f ca="1">_xll.RiskOutput("NPV")+NPV(3%,'SW SF no change'!H16:AF16)</f>
        <v>#VALUE!</v>
      </c>
      <c r="VM2" s="1">
        <f>'SW SF no change'!$I$20</f>
        <v>751759.70475521672</v>
      </c>
      <c r="VN2" s="2" t="e">
        <f ca="1">_xll.RiskOutput("NPV")+NPV(3%,'SW SF no change'!I16:AF16)</f>
        <v>#VALUE!</v>
      </c>
      <c r="VO2" s="1">
        <f>'SW SF no change'!$J$20</f>
        <v>733796.49589787342</v>
      </c>
      <c r="VP2" s="2" t="e">
        <f ca="1">_xll.RiskOutput("NPV")+NPV(3%,'SW SF no change'!J16:AF16)</f>
        <v>#VALUE!</v>
      </c>
      <c r="VQ2" s="1">
        <f>'SW SF no change'!$K$20</f>
        <v>719684.39077480952</v>
      </c>
      <c r="VR2" s="2" t="e">
        <f ca="1">_xll.RiskOutput("NPV")+NPV(3%,'SW SF no change'!K16:AF16)</f>
        <v>#VALUE!</v>
      </c>
      <c r="VS2" s="1">
        <f>'SW SF no change'!$L$20</f>
        <v>687588.92249805387</v>
      </c>
      <c r="VT2" s="2" t="e">
        <f ca="1">_xll.RiskOutput("NPV")+NPV(3%,'SW SF no change'!L16:AO16)</f>
        <v>#VALUE!</v>
      </c>
      <c r="VU2" s="1">
        <f>'SW SF no change'!$M$20</f>
        <v>645750.59017299546</v>
      </c>
      <c r="VV2" s="2" t="e">
        <f ca="1">_xll.RiskOutput("NPV")+NPV(3%,'SW SF no change'!M16:AP16)</f>
        <v>#VALUE!</v>
      </c>
      <c r="VW2" s="1">
        <f>'SW SF no change'!$N$20</f>
        <v>615827.10787818546</v>
      </c>
      <c r="VX2" s="2" t="e">
        <f ca="1">_xll.RiskOutput("NPV")+NPV(3%,'SW SF no change'!N16:AQ16)</f>
        <v>#VALUE!</v>
      </c>
      <c r="VY2" s="1">
        <f>'SW SF no change'!$O$20</f>
        <v>593785.921114531</v>
      </c>
      <c r="VZ2" s="2" t="e">
        <f ca="1">_xll.RiskOutput("NPV")+NPV(3%,'SW SF no change'!O16:AR16)</f>
        <v>#VALUE!</v>
      </c>
      <c r="WA2" s="1">
        <f>'SW SF no change'!$P$20</f>
        <v>579863.49874796707</v>
      </c>
      <c r="WB2" s="2" t="e">
        <f ca="1">_xll.RiskOutput("NPV")+NPV(3%,'SW SF no change'!P16:AS16)</f>
        <v>#VALUE!</v>
      </c>
      <c r="WC2" s="1">
        <f>'SW SF no change'!$Q$20</f>
        <v>561133.40371040592</v>
      </c>
      <c r="WD2" s="2" t="e">
        <f ca="1">_xll.RiskOutput("NPV")+NPV(3%,'SW SF no change'!Q16:AT16)</f>
        <v>#VALUE!</v>
      </c>
      <c r="WE2" s="1">
        <f>'SW SF no change'!$R$20</f>
        <v>533061.40582171828</v>
      </c>
      <c r="WF2" s="2" t="e">
        <f ca="1">_xll.RiskOutput("NPV")+NPV(3%,'SW SF no change'!R16:AU16)</f>
        <v>#VALUE!</v>
      </c>
      <c r="WG2" s="1">
        <f>'SW SF no change'!$S$20</f>
        <v>504147.24799636984</v>
      </c>
      <c r="WH2" s="2" t="e">
        <f ca="1">_xll.RiskOutput("NPV")+NPV(3%,'SW SF no change'!S16:AV16)</f>
        <v>#VALUE!</v>
      </c>
      <c r="WI2" s="1">
        <f>'SW SF no change'!$T$20</f>
        <v>478755.66543626093</v>
      </c>
      <c r="WJ2" s="2" t="e">
        <f ca="1">_xll.RiskOutput("NPV")+NPV(3%,'SW SF no change'!T16:AW16)</f>
        <v>#VALUE!</v>
      </c>
      <c r="WK2" s="1">
        <f>'SW SF no change'!$U$20</f>
        <v>443822.3353993487</v>
      </c>
      <c r="WL2" s="2" t="e">
        <f ca="1">_xll.RiskOutput("NPV")+NPV(3%,'SW SF no change'!U16:AX16)</f>
        <v>#VALUE!</v>
      </c>
      <c r="WM2" s="1">
        <f>'SW SF no change'!$V$20</f>
        <v>403451.00546132925</v>
      </c>
      <c r="WN2" s="2" t="e">
        <f ca="1">_xll.RiskOutput("NPV")+NPV(3%,'SW SF no change'!V16:AY16)</f>
        <v>#VALUE!</v>
      </c>
      <c r="WO2" s="1">
        <f>'SW SF no change'!$W$20</f>
        <v>370648.53562516923</v>
      </c>
      <c r="WP2" s="2" t="e">
        <f ca="1">_xll.RiskOutput("NPV")+NPV(3%,'SW SF no change'!W16:AZ16)</f>
        <v>#VALUE!</v>
      </c>
      <c r="WQ2" s="1">
        <f>'SW SF no change'!$X$20</f>
        <v>345641.9916939243</v>
      </c>
      <c r="WR2" s="2" t="e">
        <f ca="1">_xll.RiskOutput("NPV")+NPV(3%,'SW SF no change'!X16:BA16)</f>
        <v>#VALUE!</v>
      </c>
      <c r="WS2" s="1">
        <f>'SW SF no change'!$Y$20</f>
        <v>324275.25144474191</v>
      </c>
      <c r="WT2" s="2" t="e">
        <f ca="1">_xll.RiskOutput("NPV")+NPV(3%,'SW SF no change'!Y16:BB16)</f>
        <v>#VALUE!</v>
      </c>
      <c r="WU2" s="1">
        <f>'SW SF no change'!$Z$20</f>
        <v>284707.50898808421</v>
      </c>
      <c r="WV2" s="2" t="e">
        <f ca="1">_xll.RiskOutput("NPV")+NPV(3%,'SW SF no change'!Z16:BC16)</f>
        <v>#VALUE!</v>
      </c>
      <c r="WW2" s="1">
        <f>'SW SF no change'!$AA$20</f>
        <v>248342.73425772676</v>
      </c>
      <c r="WX2" s="2" t="e">
        <f ca="1">_xll.RiskOutput("NPV")+NPV(3%,'SW SF no change'!AA16:BD16)</f>
        <v>#VALUE!</v>
      </c>
      <c r="WY2" s="1">
        <f>'SW SF no change'!$AB$20</f>
        <v>202107.01628545858</v>
      </c>
      <c r="WZ2" s="2" t="e">
        <f ca="1">_xll.RiskOutput("NPV")+NPV(3%,'SW SF no change'!AB16:BE16)</f>
        <v>#VALUE!</v>
      </c>
      <c r="XA2" s="1">
        <f>'SW SF no change'!$AC$20</f>
        <v>163264.2267740223</v>
      </c>
      <c r="XB2" s="2" t="e">
        <f ca="1">_xll.RiskOutput("NPV")+NPV(3%,'SW SF no change'!AC16:BF16)</f>
        <v>#VALUE!</v>
      </c>
      <c r="XC2" s="1">
        <f>'SW SF no change'!$AD$20</f>
        <v>118866.15357724299</v>
      </c>
      <c r="XD2" s="2" t="e">
        <f ca="1">_xll.RiskOutput("NPV")+NPV(3%,'SW SF no change'!AD16:BG16)</f>
        <v>#VALUE!</v>
      </c>
      <c r="XE2" s="1">
        <f>'SW SF no change'!$AE$20</f>
        <v>77526.138184560288</v>
      </c>
      <c r="XF2" s="2" t="e">
        <f ca="1">_xll.RiskOutput("NPV")+NPV(3%,'SW SF no change'!AE16:BH16)</f>
        <v>#VALUE!</v>
      </c>
      <c r="XG2" s="1">
        <f>'SW SF no change'!$AF$20</f>
        <v>39335.922330097084</v>
      </c>
      <c r="XH2" s="2" t="e">
        <f ca="1">_xll.RiskOutput("NPV")+NPV(3%,'SW SF no change'!AF16:BI16)</f>
        <v>#VALUE!</v>
      </c>
      <c r="XI2">
        <f>'WW CC no change'!$B$8</f>
        <v>28.106454679999999</v>
      </c>
      <c r="XJ2" t="e">
        <f ca="1">RiskValStatic(28.10645468)+_xll.RiskExtvalueMin('WW CC no change'!B7,6.3989,_xll.RiskName("WW CC neg"))</f>
        <v>#NAME?</v>
      </c>
      <c r="XK2">
        <f>'WW CC no change'!$C$8</f>
        <v>28.106454679999999</v>
      </c>
      <c r="XL2" t="e">
        <f ca="1">RiskValStatic(28.10645468)+_xll.RiskExtvalueMin('WW CC no change'!C7,6.3989,_xll.RiskName("WW CC neg"))</f>
        <v>#NAME?</v>
      </c>
      <c r="XM2">
        <f>'WW CC no change'!$D$8</f>
        <v>26.106454679999999</v>
      </c>
      <c r="XN2" t="e">
        <f ca="1">RiskValStatic(26.10645468)+_xll.RiskExtvalueMin('WW CC no change'!D7,6.3989,_xll.RiskName("WW CC neg"))</f>
        <v>#NAME?</v>
      </c>
      <c r="XO2">
        <f>'WW CC no change'!$E$8</f>
        <v>27.106454679999999</v>
      </c>
      <c r="XP2" t="e">
        <f ca="1">RiskValStatic(27.10645468)+_xll.RiskExtvalueMin('WW CC no change'!E7,6.3989,_xll.RiskName("WW CC neg"))</f>
        <v>#NAME?</v>
      </c>
      <c r="XQ2">
        <f>'WW CC no change'!$F$8</f>
        <v>28.106454679999999</v>
      </c>
      <c r="XR2" t="e">
        <f ca="1">RiskValStatic(28.10645468)+_xll.RiskExtvalueMin('WW CC no change'!F7,6.3989,_xll.RiskName("WW CC neg"))</f>
        <v>#NAME?</v>
      </c>
      <c r="XS2">
        <f>'WW CC no change'!$G$8</f>
        <v>27.106454679999999</v>
      </c>
      <c r="XT2" t="e">
        <f ca="1">RiskValStatic(27.10645468)+_xll.RiskExtvalueMin('WW CC no change'!G7,6.3989,_xll.RiskName("WW CC neg"))</f>
        <v>#NAME?</v>
      </c>
      <c r="XU2">
        <f>'WW CC no change'!$H$8</f>
        <v>30.106454679999999</v>
      </c>
      <c r="XV2" t="e">
        <f ca="1">RiskValStatic(30.10645468)+_xll.RiskExtvalueMin('WW CC no change'!H7,6.3989,_xll.RiskName("WW CC neg"))</f>
        <v>#NAME?</v>
      </c>
      <c r="XW2">
        <f>'WW CC no change'!$I$8</f>
        <v>28.106454679999999</v>
      </c>
      <c r="XX2" t="e">
        <f ca="1">RiskValStatic(28.10645468)+_xll.RiskExtvalueMin('WW CC no change'!I7,6.3989,_xll.RiskName("WW CC neg"))</f>
        <v>#NAME?</v>
      </c>
      <c r="XY2">
        <f>'WW CC no change'!$J$8</f>
        <v>27.106454679999999</v>
      </c>
      <c r="XZ2" t="e">
        <f ca="1">RiskValStatic(27.10645468)+_xll.RiskExtvalueMin('WW CC no change'!J7,6.3989,_xll.RiskName("WW CC neg"))</f>
        <v>#NAME?</v>
      </c>
      <c r="YA2">
        <f>'WW CC no change'!$K$8</f>
        <v>31.106454679999999</v>
      </c>
      <c r="YB2" t="e">
        <f ca="1">RiskValStatic(31.10645468)+_xll.RiskExtvalueMin('WW CC no change'!K7,6.3989,_xll.RiskName("WW CC neg"))</f>
        <v>#NAME?</v>
      </c>
      <c r="YC2">
        <f>'WW CC no change'!$L$8</f>
        <v>33.106454679999999</v>
      </c>
      <c r="YD2" t="e">
        <f ca="1">RiskValStatic(33.10645468)+_xll.RiskExtvalueMin('WW CC no change'!L7,6.3989,_xll.RiskName("WW CC neg"))</f>
        <v>#NAME?</v>
      </c>
      <c r="YE2">
        <f>'WW CC no change'!$M$8</f>
        <v>30.106454679999999</v>
      </c>
      <c r="YF2" t="e">
        <f ca="1">RiskValStatic(30.10645468)+_xll.RiskExtvalueMin('WW CC no change'!M7,6.3989,_xll.RiskName("WW CC neg"))</f>
        <v>#NAME?</v>
      </c>
      <c r="YG2">
        <f>'WW CC no change'!$N$8</f>
        <v>28.106454679999999</v>
      </c>
      <c r="YH2" t="e">
        <f ca="1">RiskValStatic(28.10645468)+_xll.RiskExtvalueMin('WW CC no change'!N7,6.3989,_xll.RiskName("WW CC neg"))</f>
        <v>#NAME?</v>
      </c>
      <c r="YI2">
        <f>'WW CC no change'!$O$8</f>
        <v>26.106454679999999</v>
      </c>
      <c r="YJ2" t="e">
        <f ca="1">RiskValStatic(26.10645468)+_xll.RiskExtvalueMin('WW CC no change'!O7,6.3989,_xll.RiskName("WW CC neg"))</f>
        <v>#NAME?</v>
      </c>
      <c r="YK2">
        <f>'WW CC no change'!$P$8</f>
        <v>27.106454679999999</v>
      </c>
      <c r="YL2" t="e">
        <f ca="1">RiskValStatic(27.10645468)+_xll.RiskExtvalueMin('WW CC no change'!P7,6.3989,_xll.RiskName("WW CC neg"))</f>
        <v>#NAME?</v>
      </c>
      <c r="YM2">
        <f>'WW CC no change'!$Q$8</f>
        <v>38.700000000000003</v>
      </c>
      <c r="YN2" t="e">
        <f ca="1">RiskValStatic(38.7)+_xll.RiskNormal('WW CC no change'!Q7,6.4389,_xll.RiskName("WW CC norm"))</f>
        <v>#NAME?</v>
      </c>
      <c r="YO2">
        <f>'WW CC no change'!$R$8</f>
        <v>38.700000000000003</v>
      </c>
      <c r="YP2" t="e">
        <f ca="1">RiskValStatic(38.7)+_xll.RiskNormal('WW CC no change'!R7,6.4389,_xll.RiskName("WW CC norm"))</f>
        <v>#NAME?</v>
      </c>
      <c r="YQ2">
        <f>'WW CC no change'!$S$8</f>
        <v>37.700000000000003</v>
      </c>
      <c r="YR2" t="e">
        <f ca="1">RiskValStatic(37.7)+_xll.RiskNormal('WW CC no change'!S7,6.4389,_xll.RiskName("WW CC norm"))</f>
        <v>#NAME?</v>
      </c>
      <c r="YS2">
        <f>'WW CC no change'!$T$8</f>
        <v>39.700000000000003</v>
      </c>
      <c r="YT2" t="e">
        <f ca="1">RiskValStatic(39.7)+_xll.RiskNormal('WW CC no change'!T7,6.4389,_xll.RiskName("WW CC norm"))</f>
        <v>#NAME?</v>
      </c>
      <c r="YU2">
        <f>'WW CC no change'!$U$8</f>
        <v>40.700000000000003</v>
      </c>
      <c r="YV2" t="e">
        <f ca="1">RiskValStatic(40.7)+_xll.RiskNormal('WW CC no change'!U7,6.4389,_xll.RiskName("WW CC norm"))</f>
        <v>#NAME?</v>
      </c>
      <c r="YW2">
        <f>'WW CC no change'!$V$8</f>
        <v>38.700000000000003</v>
      </c>
      <c r="YX2" t="e">
        <f ca="1">RiskValStatic(38.7)+_xll.RiskNormal('WW CC no change'!V7,6.4389,_xll.RiskName("WW CC norm"))</f>
        <v>#NAME?</v>
      </c>
      <c r="YY2">
        <f>'WW CC no change'!$W$8</f>
        <v>36.700000000000003</v>
      </c>
      <c r="YZ2" t="e">
        <f ca="1">RiskValStatic(36.7)+_xll.RiskNormal('WW CC no change'!W7,6.4389,_xll.RiskName("WW CC norm"))</f>
        <v>#NAME?</v>
      </c>
      <c r="ZA2">
        <f>'WW CC no change'!$X$8</f>
        <v>35.700000000000003</v>
      </c>
      <c r="ZB2" t="e">
        <f ca="1">RiskValStatic(35.7)+_xll.RiskNormal('WW CC no change'!X7,6.4389,_xll.RiskName("WW CC norm"))</f>
        <v>#NAME?</v>
      </c>
      <c r="ZC2">
        <f>'WW CC no change'!$Y$8</f>
        <v>39.700000000000003</v>
      </c>
      <c r="ZD2" t="e">
        <f ca="1">RiskValStatic(39.7)+_xll.RiskNormal('WW CC no change'!Y7,6.4389,_xll.RiskName("WW CC norm"))</f>
        <v>#NAME?</v>
      </c>
      <c r="ZE2">
        <f>'WW CC no change'!$Z$8</f>
        <v>38.700000000000003</v>
      </c>
      <c r="ZF2" t="e">
        <f ca="1">RiskValStatic(38.7)+_xll.RiskNormal('WW CC no change'!Z7,6.4389,_xll.RiskName("WW CC norm"))</f>
        <v>#NAME?</v>
      </c>
      <c r="ZG2">
        <f>'WW CC no change'!$AA$8</f>
        <v>40.700000000000003</v>
      </c>
      <c r="ZH2" t="e">
        <f ca="1">RiskValStatic(40.7)+_xll.RiskNormal('WW CC no change'!AA7,6.4389,_xll.RiskName("WW CC norm"))</f>
        <v>#NAME?</v>
      </c>
      <c r="ZI2">
        <f>'WW CC no change'!$AB$8</f>
        <v>38.700000000000003</v>
      </c>
      <c r="ZJ2" t="e">
        <f ca="1">RiskValStatic(38.7)+_xll.RiskNormal('WW CC no change'!AB7,6.4389,_xll.RiskName("WW CC norm"))</f>
        <v>#NAME?</v>
      </c>
      <c r="ZK2">
        <f>'WW CC no change'!$AC$8</f>
        <v>39.700000000000003</v>
      </c>
      <c r="ZL2" t="e">
        <f ca="1">RiskValStatic(39.7)+_xll.RiskNormal('WW CC no change'!AC7,6.4389,_xll.RiskName("WW CC norm"))</f>
        <v>#NAME?</v>
      </c>
      <c r="ZM2">
        <f>'WW CC no change'!$AD$8</f>
        <v>38.700000000000003</v>
      </c>
      <c r="ZN2" t="e">
        <f ca="1">RiskValStatic(38.7)+_xll.RiskNormal('WW CC no change'!AD7,6.4389,_xll.RiskName("WW CC norm"))</f>
        <v>#NAME?</v>
      </c>
      <c r="ZO2">
        <f>'WW CC no change'!$AE$8</f>
        <v>38.5</v>
      </c>
      <c r="ZP2" t="e">
        <f ca="1">RiskValStatic(38.5)+_xll.RiskNormal('WW CC no change'!AE7,6.4389,_xll.RiskName("WW CC norm"))</f>
        <v>#NAME?</v>
      </c>
      <c r="ZQ2">
        <f>'WW CC no change'!$AF$8</f>
        <v>38.299999999999997</v>
      </c>
      <c r="ZR2" t="e">
        <f ca="1">RiskValStatic(38.3)+_xll.RiskNormal('WW CC no change'!AF7,6.4389,_xll.RiskName("WW CC norm"))</f>
        <v>#NAME?</v>
      </c>
      <c r="ZS2" s="8">
        <f>'WW CC no change'!$B$11</f>
        <v>56212.909359999998</v>
      </c>
      <c r="ZT2" t="e">
        <f ca="1">_xll.RiskOutput()+'WW CC no change'!B8*'WW CC no change'!B10</f>
        <v>#VALUE!</v>
      </c>
      <c r="ZU2" s="8">
        <f>'WW CC no change'!$C$11</f>
        <v>56212.909359999998</v>
      </c>
      <c r="ZV2" t="e">
        <f ca="1">_xll.RiskOutput()+'WW CC no change'!C8*'WW CC no change'!C10</f>
        <v>#VALUE!</v>
      </c>
      <c r="ZW2" s="8">
        <f>'WW CC no change'!$D$11</f>
        <v>52212.909359999998</v>
      </c>
      <c r="ZX2" t="e">
        <f ca="1">_xll.RiskOutput()+'WW CC no change'!D8*'WW CC no change'!D10</f>
        <v>#VALUE!</v>
      </c>
      <c r="ZY2" s="8">
        <f>'WW CC no change'!$E$11</f>
        <v>54212.909359999998</v>
      </c>
      <c r="ZZ2" t="e">
        <f ca="1">_xll.RiskOutput()+'WW CC no change'!E8*'WW CC no change'!E10</f>
        <v>#VALUE!</v>
      </c>
      <c r="AAA2" s="8">
        <f>'WW CC no change'!$F$11</f>
        <v>56212.909359999998</v>
      </c>
      <c r="AAB2" t="e">
        <f ca="1">_xll.RiskOutput()+'WW CC no change'!F8*'WW CC no change'!F10</f>
        <v>#VALUE!</v>
      </c>
      <c r="AAC2" s="8">
        <f>'WW CC no change'!$G$11</f>
        <v>54212.909359999998</v>
      </c>
      <c r="AAD2" t="e">
        <f ca="1">_xll.RiskOutput()+'WW CC no change'!G8*'WW CC no change'!G10</f>
        <v>#VALUE!</v>
      </c>
      <c r="AAE2" s="8">
        <f>'WW CC no change'!$H$11</f>
        <v>60212.909359999998</v>
      </c>
      <c r="AAF2" t="e">
        <f ca="1">_xll.RiskOutput()+'WW CC no change'!H8*'WW CC no change'!H10</f>
        <v>#VALUE!</v>
      </c>
      <c r="AAG2" s="8">
        <f>'WW CC no change'!$I$11</f>
        <v>56212.909359999998</v>
      </c>
      <c r="AAH2" t="e">
        <f ca="1">_xll.RiskOutput()+'WW CC no change'!I8*'WW CC no change'!I10</f>
        <v>#VALUE!</v>
      </c>
      <c r="AAI2" s="8">
        <f>'WW CC no change'!$J$11</f>
        <v>54212.909359999998</v>
      </c>
      <c r="AAJ2" t="e">
        <f ca="1">_xll.RiskOutput()+'WW CC no change'!J8*'WW CC no change'!J10</f>
        <v>#VALUE!</v>
      </c>
      <c r="AAK2" s="8">
        <f>'WW CC no change'!$K$11</f>
        <v>62212.909359999998</v>
      </c>
      <c r="AAL2" t="e">
        <f ca="1">_xll.RiskOutput()+'WW CC no change'!K8*'WW CC no change'!K10</f>
        <v>#VALUE!</v>
      </c>
      <c r="AAM2" s="8">
        <f>'WW CC no change'!$L$11</f>
        <v>66212.909359999991</v>
      </c>
      <c r="AAN2" t="e">
        <f ca="1">_xll.RiskOutput()+'WW CC no change'!L8*'WW CC no change'!L10</f>
        <v>#VALUE!</v>
      </c>
      <c r="AAO2" s="8">
        <f>'WW CC no change'!$M$11</f>
        <v>60212.909359999998</v>
      </c>
      <c r="AAP2" t="e">
        <f ca="1">_xll.RiskOutput()+'WW CC no change'!M8*'WW CC no change'!M10</f>
        <v>#VALUE!</v>
      </c>
      <c r="AAQ2" s="8">
        <f>'WW CC no change'!$N$11</f>
        <v>56212.909359999998</v>
      </c>
      <c r="AAR2" t="e">
        <f ca="1">_xll.RiskOutput()+'WW CC no change'!N8*'WW CC no change'!N10</f>
        <v>#VALUE!</v>
      </c>
      <c r="AAS2" s="8">
        <f>'WW CC no change'!$O$11</f>
        <v>52212.909359999998</v>
      </c>
      <c r="AAT2" t="e">
        <f ca="1">_xll.RiskOutput()+'WW CC no change'!O8*'WW CC no change'!O10</f>
        <v>#VALUE!</v>
      </c>
      <c r="AAU2" s="8">
        <f>'WW CC no change'!$P$11</f>
        <v>54212.909359999998</v>
      </c>
      <c r="AAV2" t="e">
        <f ca="1">_xll.RiskOutput()+'WW CC no change'!P8*'WW CC no change'!P10</f>
        <v>#VALUE!</v>
      </c>
      <c r="AAW2">
        <f>'WW CC no change'!$Q$11</f>
        <v>77400</v>
      </c>
      <c r="AAX2" t="e">
        <f ca="1">_xll.RiskOutput()+'WW CC no change'!Q8*'WW CC no change'!Q10</f>
        <v>#VALUE!</v>
      </c>
      <c r="AAY2">
        <f>'WW CC no change'!$R$11</f>
        <v>77400</v>
      </c>
      <c r="AAZ2" t="e">
        <f ca="1">_xll.RiskOutput()+'WW CC no change'!R8*'WW CC no change'!R10</f>
        <v>#VALUE!</v>
      </c>
      <c r="ABA2">
        <f>'WW CC no change'!$S$11</f>
        <v>75400</v>
      </c>
      <c r="ABB2" t="e">
        <f ca="1">_xll.RiskOutput()+'WW CC no change'!S8*'WW CC no change'!S10</f>
        <v>#VALUE!</v>
      </c>
      <c r="ABC2">
        <f>'WW CC no change'!$T$11</f>
        <v>79400</v>
      </c>
      <c r="ABD2" t="e">
        <f ca="1">_xll.RiskOutput()+'WW CC no change'!T8*'WW CC no change'!T10</f>
        <v>#VALUE!</v>
      </c>
      <c r="ABE2">
        <f>'WW CC no change'!$U$11</f>
        <v>81400</v>
      </c>
      <c r="ABF2" t="e">
        <f ca="1">_xll.RiskOutput()+'WW CC no change'!U8*'WW CC no change'!U10</f>
        <v>#VALUE!</v>
      </c>
      <c r="ABG2">
        <f>'WW CC no change'!$V$11</f>
        <v>77400</v>
      </c>
      <c r="ABH2" t="e">
        <f ca="1">_xll.RiskOutput()+'WW CC no change'!V8*'WW CC no change'!V10</f>
        <v>#VALUE!</v>
      </c>
      <c r="ABI2">
        <f>'WW CC no change'!$W$11</f>
        <v>73400</v>
      </c>
      <c r="ABJ2" t="e">
        <f ca="1">_xll.RiskOutput()+'WW CC no change'!W8*'WW CC no change'!W10</f>
        <v>#VALUE!</v>
      </c>
      <c r="ABK2">
        <f>'WW CC no change'!$X$11</f>
        <v>71400</v>
      </c>
      <c r="ABL2" t="e">
        <f ca="1">_xll.RiskOutput()+'WW CC no change'!X8*'WW CC no change'!X10</f>
        <v>#VALUE!</v>
      </c>
      <c r="ABM2">
        <f>'WW CC no change'!$Y$11</f>
        <v>79400</v>
      </c>
      <c r="ABN2" t="e">
        <f ca="1">_xll.RiskOutput()+'WW CC no change'!Y8*'WW CC no change'!Y10</f>
        <v>#VALUE!</v>
      </c>
      <c r="ABO2">
        <f>'WW CC no change'!$Z$11</f>
        <v>77400</v>
      </c>
      <c r="ABP2" t="e">
        <f ca="1">_xll.RiskOutput()+'WW CC no change'!Z8*'WW CC no change'!Z10</f>
        <v>#VALUE!</v>
      </c>
      <c r="ABQ2">
        <f>'WW CC no change'!$AA$11</f>
        <v>81400</v>
      </c>
      <c r="ABR2" t="e">
        <f ca="1">_xll.RiskOutput()+'WW CC no change'!AA8*'WW CC no change'!AA10</f>
        <v>#VALUE!</v>
      </c>
      <c r="ABS2">
        <f>'WW CC no change'!$AB$11</f>
        <v>77400</v>
      </c>
      <c r="ABT2" t="e">
        <f ca="1">_xll.RiskOutput()+'WW CC no change'!AB8*'WW CC no change'!AB10</f>
        <v>#VALUE!</v>
      </c>
      <c r="ABU2">
        <f>'WW CC no change'!$AC$11</f>
        <v>79400</v>
      </c>
      <c r="ABV2" t="e">
        <f ca="1">_xll.RiskOutput()+'WW CC no change'!AC8*'WW CC no change'!AC10</f>
        <v>#VALUE!</v>
      </c>
      <c r="ABW2">
        <f>'WW CC no change'!$AD$11</f>
        <v>77400</v>
      </c>
      <c r="ABX2" t="e">
        <f ca="1">_xll.RiskOutput()+'WW CC no change'!AD8*'WW CC no change'!AD10</f>
        <v>#VALUE!</v>
      </c>
      <c r="ABY2">
        <f>'WW CC no change'!$AE$11</f>
        <v>77000</v>
      </c>
      <c r="ABZ2" t="e">
        <f ca="1">_xll.RiskOutput()+'WW CC no change'!AE8*'WW CC no change'!AE10</f>
        <v>#VALUE!</v>
      </c>
      <c r="ACA2">
        <f>'WW CC no change'!$AF$11</f>
        <v>76600</v>
      </c>
      <c r="ACB2" t="e">
        <f ca="1">_xll.RiskOutput()+'WW CC no change'!AF8*'WW CC no change'!AF10</f>
        <v>#VALUE!</v>
      </c>
      <c r="ACC2" s="2">
        <f>'WW CC no change'!$B$15</f>
        <v>236094.219312</v>
      </c>
      <c r="ACD2" t="e">
        <f ca="1">_xll.RiskOutput()+'WW CC no change'!B11*'WW CC no change'!B13</f>
        <v>#VALUE!</v>
      </c>
      <c r="ACE2" s="2">
        <f>'WW CC no change'!$C$15</f>
        <v>236094.219312</v>
      </c>
      <c r="ACF2" t="e">
        <f ca="1">_xll.RiskOutput()+'WW CC no change'!C11*'WW CC no change'!C13</f>
        <v>#VALUE!</v>
      </c>
      <c r="ACG2" s="2">
        <f>'WW CC no change'!$D$15</f>
        <v>219294.219312</v>
      </c>
      <c r="ACH2" t="e">
        <f ca="1">_xll.RiskOutput()+'WW CC no change'!D11*'WW CC no change'!D13</f>
        <v>#VALUE!</v>
      </c>
      <c r="ACI2" s="2">
        <f>'WW CC no change'!$E$15</f>
        <v>227694.219312</v>
      </c>
      <c r="ACJ2" t="e">
        <f ca="1">_xll.RiskOutput()+'WW CC no change'!E11*'WW CC no change'!E13</f>
        <v>#VALUE!</v>
      </c>
      <c r="ACK2" s="2">
        <f>'WW CC no change'!$F$15</f>
        <v>236094.219312</v>
      </c>
      <c r="ACL2" t="e">
        <f ca="1">_xll.RiskOutput()+'WW CC no change'!F11*'WW CC no change'!F13</f>
        <v>#VALUE!</v>
      </c>
      <c r="ACM2" s="2">
        <f>'WW CC no change'!$G$15</f>
        <v>227694.219312</v>
      </c>
      <c r="ACN2" t="e">
        <f ca="1">_xll.RiskOutput()+'WW CC no change'!G11*'WW CC no change'!G13</f>
        <v>#VALUE!</v>
      </c>
      <c r="ACO2" s="2">
        <f>'WW CC no change'!$H$15</f>
        <v>252894.219312</v>
      </c>
      <c r="ACP2" t="e">
        <f ca="1">_xll.RiskOutput()+'WW CC no change'!H11*'WW CC no change'!H13</f>
        <v>#VALUE!</v>
      </c>
      <c r="ACQ2" s="2">
        <f>'WW CC no change'!$I$15</f>
        <v>236094.219312</v>
      </c>
      <c r="ACR2" t="e">
        <f ca="1">_xll.RiskOutput()+'WW CC no change'!I11*'WW CC no change'!I13</f>
        <v>#VALUE!</v>
      </c>
      <c r="ACS2" s="2">
        <f>'WW CC no change'!$J$15</f>
        <v>227694.219312</v>
      </c>
      <c r="ACT2" t="e">
        <f ca="1">_xll.RiskOutput()+'WW CC no change'!J11*'WW CC no change'!J13</f>
        <v>#VALUE!</v>
      </c>
      <c r="ACU2" s="2">
        <f>'WW CC no change'!$K$15</f>
        <v>261294.219312</v>
      </c>
      <c r="ACV2" t="e">
        <f ca="1">_xll.RiskOutput()+'WW CC no change'!K11*'WW CC no change'!K13</f>
        <v>#VALUE!</v>
      </c>
      <c r="ACW2" s="2">
        <f>'WW CC no change'!$L$15</f>
        <v>278094.21931199997</v>
      </c>
      <c r="ACX2" t="e">
        <f ca="1">_xll.RiskOutput()+'WW CC no change'!L11*'WW CC no change'!L13</f>
        <v>#VALUE!</v>
      </c>
      <c r="ACY2" s="2">
        <f>'WW CC no change'!$M$15</f>
        <v>252894.219312</v>
      </c>
      <c r="ACZ2" t="e">
        <f ca="1">_xll.RiskOutput()+'WW CC no change'!M11*'WW CC no change'!M13</f>
        <v>#VALUE!</v>
      </c>
      <c r="ADA2" s="2">
        <f>'WW CC no change'!$N$15</f>
        <v>236094.219312</v>
      </c>
      <c r="ADB2" t="e">
        <f ca="1">_xll.RiskOutput()+'WW CC no change'!N11*'WW CC no change'!N13</f>
        <v>#VALUE!</v>
      </c>
      <c r="ADC2" s="2">
        <f>'WW CC no change'!$O$15</f>
        <v>219294.219312</v>
      </c>
      <c r="ADD2" t="e">
        <f ca="1">_xll.RiskOutput()+'WW CC no change'!O11*'WW CC no change'!O13</f>
        <v>#VALUE!</v>
      </c>
      <c r="ADE2" s="2">
        <f>'WW CC no change'!$P$15</f>
        <v>227694.219312</v>
      </c>
      <c r="ADF2" t="e">
        <f ca="1">_xll.RiskOutput()+'WW CC no change'!P11*'WW CC no change'!P13</f>
        <v>#VALUE!</v>
      </c>
      <c r="ADG2" s="2">
        <f>'WW CC no change'!$Q$15</f>
        <v>325080</v>
      </c>
      <c r="ADH2" t="e">
        <f ca="1">_xll.RiskOutput()+'WW CC no change'!Q11*'WW CC no change'!Q13</f>
        <v>#VALUE!</v>
      </c>
      <c r="ADI2" s="2">
        <f>'WW CC no change'!$R$15</f>
        <v>325080</v>
      </c>
      <c r="ADJ2" t="e">
        <f ca="1">_xll.RiskOutput()+'WW CC no change'!R11*'WW CC no change'!R13</f>
        <v>#VALUE!</v>
      </c>
      <c r="ADK2" s="2">
        <f>'WW CC no change'!$S$15</f>
        <v>316680</v>
      </c>
      <c r="ADL2" t="e">
        <f ca="1">_xll.RiskOutput()+'WW CC no change'!S11*'WW CC no change'!S13</f>
        <v>#VALUE!</v>
      </c>
      <c r="ADM2" s="2">
        <f>'WW CC no change'!$T$15</f>
        <v>333480</v>
      </c>
      <c r="ADN2" t="e">
        <f ca="1">_xll.RiskOutput()+'WW CC no change'!T11*'WW CC no change'!T13</f>
        <v>#VALUE!</v>
      </c>
      <c r="ADO2" s="2">
        <f>'WW CC no change'!$U$15</f>
        <v>341880</v>
      </c>
      <c r="ADP2" t="e">
        <f ca="1">_xll.RiskOutput()+'WW CC no change'!U11*'WW CC no change'!U13</f>
        <v>#VALUE!</v>
      </c>
      <c r="ADQ2" s="2">
        <f>'WW CC no change'!$V$15</f>
        <v>325080</v>
      </c>
      <c r="ADR2" t="e">
        <f ca="1">_xll.RiskOutput()+'WW CC no change'!V11*'WW CC no change'!V13</f>
        <v>#VALUE!</v>
      </c>
      <c r="ADS2" s="2">
        <f>'WW CC no change'!$W$15</f>
        <v>308280</v>
      </c>
      <c r="ADT2" t="e">
        <f ca="1">_xll.RiskOutput()+'WW CC no change'!W11*'WW CC no change'!W13</f>
        <v>#VALUE!</v>
      </c>
      <c r="ADU2" s="2">
        <f>'WW CC no change'!$X$15</f>
        <v>299880</v>
      </c>
      <c r="ADV2" t="e">
        <f ca="1">_xll.RiskOutput()+'WW CC no change'!X11*'WW CC no change'!X13</f>
        <v>#VALUE!</v>
      </c>
      <c r="ADW2" s="2">
        <f>'WW CC no change'!$Y$15</f>
        <v>333480</v>
      </c>
      <c r="ADX2" t="e">
        <f ca="1">_xll.RiskOutput()+'WW CC no change'!Y11*'WW CC no change'!Y13</f>
        <v>#VALUE!</v>
      </c>
      <c r="ADY2" s="2">
        <f>'WW CC no change'!$Z$15</f>
        <v>325080</v>
      </c>
      <c r="ADZ2" t="e">
        <f ca="1">_xll.RiskOutput()+'WW CC no change'!Z11*'WW CC no change'!Z13</f>
        <v>#VALUE!</v>
      </c>
      <c r="AEA2" s="2">
        <f>'WW CC no change'!$AA$15</f>
        <v>341880</v>
      </c>
      <c r="AEB2" t="e">
        <f ca="1">_xll.RiskOutput()+'WW CC no change'!AA11*'WW CC no change'!AA13</f>
        <v>#VALUE!</v>
      </c>
      <c r="AEC2" s="2">
        <f>'WW CC no change'!$AB$15</f>
        <v>325080</v>
      </c>
      <c r="AED2" t="e">
        <f ca="1">_xll.RiskOutput()+'WW CC no change'!AB11*'WW CC no change'!AB13</f>
        <v>#VALUE!</v>
      </c>
      <c r="AEE2" s="2">
        <f>'WW CC no change'!$AC$15</f>
        <v>333480</v>
      </c>
      <c r="AEF2" t="e">
        <f ca="1">_xll.RiskOutput()+'WW CC no change'!AC11*'WW CC no change'!AC13</f>
        <v>#VALUE!</v>
      </c>
      <c r="AEG2" s="2">
        <f>'WW CC no change'!$AD$15</f>
        <v>325080</v>
      </c>
      <c r="AEH2" t="e">
        <f ca="1">_xll.RiskOutput()+'WW CC no change'!AD11*'WW CC no change'!AD13</f>
        <v>#VALUE!</v>
      </c>
      <c r="AEI2" s="2">
        <f>'WW CC no change'!$AE$15</f>
        <v>323400</v>
      </c>
      <c r="AEJ2" t="e">
        <f ca="1">_xll.RiskOutput()+'WW CC no change'!AE11*'WW CC no change'!AE13</f>
        <v>#VALUE!</v>
      </c>
      <c r="AEK2" s="2">
        <f>'WW CC no change'!$AF$15</f>
        <v>321720</v>
      </c>
      <c r="AEL2" t="e">
        <f ca="1">_xll.RiskOutput()+'WW CC no change'!AF11*'WW CC no change'!AF13</f>
        <v>#VALUE!</v>
      </c>
      <c r="AEM2" s="2">
        <f>'WW CC no change'!$B$16</f>
        <v>29094.219312000001</v>
      </c>
      <c r="AEN2" s="2" t="e">
        <f ca="1">_xll.RiskOutput()+'WW CC no change'!B15-'WW CC no change'!B12</f>
        <v>#VALUE!</v>
      </c>
      <c r="AEO2" s="2">
        <f>'WW CC no change'!$C$16</f>
        <v>29094.219312000001</v>
      </c>
      <c r="AEP2" s="2" t="e">
        <f ca="1">_xll.RiskOutput()+'WW CC no change'!C15-'WW CC no change'!C12</f>
        <v>#VALUE!</v>
      </c>
      <c r="AEQ2" s="2">
        <f>'WW CC no change'!$D$16</f>
        <v>12294.219312000001</v>
      </c>
      <c r="AER2" s="2" t="e">
        <f ca="1">_xll.RiskOutput()+'WW CC no change'!D15-'WW CC no change'!D12</f>
        <v>#VALUE!</v>
      </c>
      <c r="AES2" s="2">
        <f>'WW CC no change'!$E$16</f>
        <v>20694.219312000001</v>
      </c>
      <c r="AET2" s="2" t="e">
        <f ca="1">_xll.RiskOutput()+'WW CC no change'!E15-'WW CC no change'!E12</f>
        <v>#VALUE!</v>
      </c>
      <c r="AEU2" s="2">
        <f>'WW CC no change'!$F$16</f>
        <v>29094.219312000001</v>
      </c>
      <c r="AEV2" s="2" t="e">
        <f ca="1">_xll.RiskOutput()+'WW CC no change'!F15-'WW CC no change'!F12</f>
        <v>#VALUE!</v>
      </c>
      <c r="AEW2" s="2">
        <f>'WW CC no change'!$G$16</f>
        <v>20694.219312000001</v>
      </c>
      <c r="AEX2" s="2" t="e">
        <f ca="1">_xll.RiskOutput()+'WW CC no change'!G15-'WW CC no change'!G12</f>
        <v>#VALUE!</v>
      </c>
      <c r="AEY2" s="2">
        <f>'WW CC no change'!$H$16</f>
        <v>45894.219312000001</v>
      </c>
      <c r="AEZ2" s="2" t="e">
        <f ca="1">_xll.RiskOutput()+'WW CC no change'!H15-'WW CC no change'!H12</f>
        <v>#VALUE!</v>
      </c>
      <c r="AFA2" s="2">
        <f>'WW CC no change'!$I$16</f>
        <v>29094.219312000001</v>
      </c>
      <c r="AFB2" s="2" t="e">
        <f ca="1">_xll.RiskOutput()+'WW CC no change'!I15-'WW CC no change'!I12</f>
        <v>#VALUE!</v>
      </c>
      <c r="AFC2" s="2">
        <f>'WW CC no change'!$J$16</f>
        <v>20694.219312000001</v>
      </c>
      <c r="AFD2" s="2" t="e">
        <f ca="1">_xll.RiskOutput()+'WW CC no change'!J15-'WW CC no change'!J12</f>
        <v>#VALUE!</v>
      </c>
      <c r="AFE2" s="2">
        <f>'WW CC no change'!$K$16</f>
        <v>54294.219312000001</v>
      </c>
      <c r="AFF2" s="2" t="e">
        <f ca="1">_xll.RiskOutput()+'WW CC no change'!K15-'WW CC no change'!K12</f>
        <v>#VALUE!</v>
      </c>
      <c r="AFG2" s="2">
        <f>'WW CC no change'!$L$16</f>
        <v>71094.219311999972</v>
      </c>
      <c r="AFH2" s="2" t="e">
        <f ca="1">_xll.RiskOutput()+'WW CC no change'!L15-'WW CC no change'!L12</f>
        <v>#VALUE!</v>
      </c>
      <c r="AFI2" s="2">
        <f>'WW CC no change'!$M$16</f>
        <v>45894.219312000001</v>
      </c>
      <c r="AFJ2" s="2" t="e">
        <f ca="1">_xll.RiskOutput()+'WW CC no change'!M15-'WW CC no change'!M12</f>
        <v>#VALUE!</v>
      </c>
      <c r="AFK2" s="2">
        <f>'WW CC no change'!$N$16</f>
        <v>29094.219312000001</v>
      </c>
      <c r="AFL2" s="2" t="e">
        <f ca="1">_xll.RiskOutput()+'WW CC no change'!N15-'WW CC no change'!N12</f>
        <v>#VALUE!</v>
      </c>
      <c r="AFM2" s="2">
        <f>'WW CC no change'!$O$16</f>
        <v>12294.219312000001</v>
      </c>
      <c r="AFN2" s="2" t="e">
        <f ca="1">_xll.RiskOutput()+'WW CC no change'!O15-'WW CC no change'!O12</f>
        <v>#VALUE!</v>
      </c>
      <c r="AFO2" s="2">
        <f>'WW CC no change'!$P$16</f>
        <v>20694.219312000001</v>
      </c>
      <c r="AFP2" s="2" t="e">
        <f ca="1">_xll.RiskOutput()+'WW CC no change'!P15-'WW CC no change'!P12</f>
        <v>#VALUE!</v>
      </c>
      <c r="AFQ2" s="2">
        <f>'WW CC no change'!$Q$16</f>
        <v>118080</v>
      </c>
      <c r="AFR2" s="2" t="e">
        <f ca="1">_xll.RiskOutput()+'WW CC no change'!Q15-'WW CC no change'!Q12</f>
        <v>#VALUE!</v>
      </c>
      <c r="AFS2" s="2">
        <f>'WW CC no change'!$R$16</f>
        <v>118080</v>
      </c>
      <c r="AFT2" s="2" t="e">
        <f ca="1">_xll.RiskOutput()+'WW CC no change'!R15-'WW CC no change'!R12</f>
        <v>#VALUE!</v>
      </c>
      <c r="AFU2" s="2">
        <f>'WW CC no change'!$S$16</f>
        <v>109680</v>
      </c>
      <c r="AFV2" s="2" t="e">
        <f ca="1">_xll.RiskOutput()+'WW CC no change'!S15-'WW CC no change'!S12</f>
        <v>#VALUE!</v>
      </c>
      <c r="AFW2" s="2">
        <f>'WW CC no change'!$T$16</f>
        <v>126480</v>
      </c>
      <c r="AFX2" s="2" t="e">
        <f ca="1">_xll.RiskOutput()+'WW CC no change'!T15-'WW CC no change'!T12</f>
        <v>#VALUE!</v>
      </c>
      <c r="AFY2" s="2">
        <f>'WW CC no change'!$U$16</f>
        <v>134880</v>
      </c>
      <c r="AFZ2" s="2" t="e">
        <f ca="1">_xll.RiskOutput()+'WW CC no change'!U15-'WW CC no change'!U12</f>
        <v>#VALUE!</v>
      </c>
      <c r="AGA2" s="2">
        <f>'WW CC no change'!$V$16</f>
        <v>118080</v>
      </c>
      <c r="AGB2" s="2" t="e">
        <f ca="1">_xll.RiskOutput()+'WW CC no change'!V15-'WW CC no change'!V12</f>
        <v>#VALUE!</v>
      </c>
      <c r="AGC2" s="2">
        <f>'WW CC no change'!$W$16</f>
        <v>101280</v>
      </c>
      <c r="AGD2" s="2" t="e">
        <f ca="1">_xll.RiskOutput()+'WW CC no change'!W15-'WW CC no change'!W12</f>
        <v>#VALUE!</v>
      </c>
      <c r="AGE2" s="2">
        <f>'WW CC no change'!$X$16</f>
        <v>92880</v>
      </c>
      <c r="AGF2" s="2" t="e">
        <f ca="1">_xll.RiskOutput()+'WW CC no change'!X15-'WW CC no change'!X12</f>
        <v>#VALUE!</v>
      </c>
      <c r="AGG2" s="2">
        <f>'WW CC no change'!$Y$16</f>
        <v>126480</v>
      </c>
      <c r="AGH2" s="2" t="e">
        <f ca="1">_xll.RiskOutput()+'WW CC no change'!Y15-'WW CC no change'!Y12</f>
        <v>#VALUE!</v>
      </c>
      <c r="AGI2" s="2">
        <f>'WW CC no change'!$Z$16</f>
        <v>118080</v>
      </c>
      <c r="AGJ2" s="2" t="e">
        <f ca="1">_xll.RiskOutput()+'WW CC no change'!Z15-'WW CC no change'!Z12</f>
        <v>#VALUE!</v>
      </c>
      <c r="AGK2" s="2">
        <f>'WW CC no change'!$AA$16</f>
        <v>134880</v>
      </c>
      <c r="AGL2" s="2" t="e">
        <f ca="1">_xll.RiskOutput()+'WW CC no change'!AA15-'WW CC no change'!AA12</f>
        <v>#VALUE!</v>
      </c>
      <c r="AGM2" s="2">
        <f>'WW CC no change'!$AB$16</f>
        <v>118080</v>
      </c>
      <c r="AGN2" s="2" t="e">
        <f ca="1">_xll.RiskOutput()+'WW CC no change'!AB15-'WW CC no change'!AB12</f>
        <v>#VALUE!</v>
      </c>
      <c r="AGO2" s="2">
        <f>'WW CC no change'!$AC$16</f>
        <v>126480</v>
      </c>
      <c r="AGP2" s="2" t="e">
        <f ca="1">_xll.RiskOutput()+'WW CC no change'!AC15-'WW CC no change'!AC12</f>
        <v>#VALUE!</v>
      </c>
      <c r="AGQ2" s="2">
        <f>'WW CC no change'!$AD$16</f>
        <v>118080</v>
      </c>
      <c r="AGR2" s="2" t="e">
        <f ca="1">_xll.RiskOutput()+'WW CC no change'!AD15-'WW CC no change'!AD12</f>
        <v>#VALUE!</v>
      </c>
      <c r="AGS2" s="2">
        <f>'WW CC no change'!$AE$16</f>
        <v>116400</v>
      </c>
      <c r="AGT2" s="2" t="e">
        <f ca="1">_xll.RiskOutput()+'WW CC no change'!AE15-'WW CC no change'!AE12</f>
        <v>#VALUE!</v>
      </c>
      <c r="AGU2" s="2">
        <f>'WW CC no change'!$AF$16</f>
        <v>114720</v>
      </c>
      <c r="AGV2" s="2" t="e">
        <f ca="1">_xll.RiskOutput()+'WW CC no change'!AF15-'WW CC no change'!AF12</f>
        <v>#VALUE!</v>
      </c>
      <c r="AGW2" s="1">
        <f>'WW CC no change'!$B$20</f>
        <v>1322250.5233990306</v>
      </c>
      <c r="AGX2" s="2" t="e">
        <f ca="1">_xll.RiskOutput("NPV")+NPV(3%,'WW CC no change'!B16:AF16)</f>
        <v>#VALUE!</v>
      </c>
      <c r="AGY2" s="1">
        <f>'WW CC no change'!$C$20</f>
        <v>1332823.8197890017</v>
      </c>
      <c r="AGZ2" s="2" t="e">
        <f ca="1">_xll.RiskOutput("NPV")+NPV(3%,'WW CC no change'!C16:AF16)</f>
        <v>#VALUE!</v>
      </c>
      <c r="AHA2" s="1">
        <f>'WW CC no change'!$D$20</f>
        <v>1343714.3150706717</v>
      </c>
      <c r="AHB2" s="2" t="e">
        <f ca="1">_xll.RiskOutput("NPV")+NPV(3%,'WW CC no change'!D16:AF16)</f>
        <v>#VALUE!</v>
      </c>
      <c r="AHC2" s="1">
        <f>'WW CC no change'!$E$20</f>
        <v>1371731.5252107917</v>
      </c>
      <c r="AHD2" s="2" t="e">
        <f ca="1">_xll.RiskOutput("NPV")+NPV(3%,'WW CC no change'!E16:AF16)</f>
        <v>#VALUE!</v>
      </c>
      <c r="AHE2" s="1">
        <f>'WW CC no change'!$F$20</f>
        <v>1392189.251655116</v>
      </c>
      <c r="AHF2" s="2" t="e">
        <f ca="1">_xll.RiskOutput("NPV")+NPV(3%,'WW CC no change'!F16:AF16)</f>
        <v>#VALUE!</v>
      </c>
      <c r="AHG2" s="1">
        <f>'WW CC no change'!$G$20</f>
        <v>1404860.7098927691</v>
      </c>
      <c r="AHH2" s="2" t="e">
        <f ca="1">_xll.RiskOutput("NPV")+NPV(3%,'WW CC no change'!G16:AF16)</f>
        <v>#VALUE!</v>
      </c>
      <c r="AHI2" s="1">
        <f>'WW CC no change'!$H$20</f>
        <v>1426312.3118775524</v>
      </c>
      <c r="AHJ2" s="2" t="e">
        <f ca="1">_xll.RiskOutput("NPV")+NPV(3%,'WW CC no change'!H16:AF16)</f>
        <v>#VALUE!</v>
      </c>
      <c r="AHK2" s="1">
        <f>'WW CC no change'!$I$20</f>
        <v>1423207.4619218789</v>
      </c>
      <c r="AHL2" s="2" t="e">
        <f ca="1">_xll.RiskOutput("NPV")+NPV(3%,'WW CC no change'!I16:AF16)</f>
        <v>#VALUE!</v>
      </c>
      <c r="AHM2" s="1">
        <f>'WW CC no change'!$J$20</f>
        <v>1436809.4664675356</v>
      </c>
      <c r="AHN2" s="2" t="e">
        <f ca="1">_xll.RiskOutput("NPV")+NPV(3%,'WW CC no change'!J16:AF16)</f>
        <v>#VALUE!</v>
      </c>
      <c r="AHO2" s="1">
        <f>'WW CC no change'!$K$20</f>
        <v>1459219.5311495615</v>
      </c>
      <c r="AHP2" s="2" t="e">
        <f ca="1">_xll.RiskOutput("NPV")+NPV(3%,'WW CC no change'!K16:AF16)</f>
        <v>#VALUE!</v>
      </c>
      <c r="AHQ2" s="1">
        <f>'WW CC no change'!$L$20</f>
        <v>1448701.8977720481</v>
      </c>
      <c r="AHR2" s="2" t="e">
        <f ca="1">_xll.RiskOutput("NPV")+NPV(3%,'WW CC no change'!L16:AO16)</f>
        <v>#VALUE!</v>
      </c>
      <c r="AHS2" s="1">
        <f>'WW CC no change'!$M$20</f>
        <v>1421068.7353932098</v>
      </c>
      <c r="AHT2" s="2" t="e">
        <f ca="1">_xll.RiskOutput("NPV")+NPV(3%,'WW CC no change'!M16:AP16)</f>
        <v>#VALUE!</v>
      </c>
      <c r="AHU2" s="1">
        <f>'WW CC no change'!$N$20</f>
        <v>1417806.5781430062</v>
      </c>
      <c r="AHV2" s="2" t="e">
        <f ca="1">_xll.RiskOutput("NPV")+NPV(3%,'WW CC no change'!N16:AQ16)</f>
        <v>#VALUE!</v>
      </c>
      <c r="AHW2" s="1">
        <f>'WW CC no change'!$O$20</f>
        <v>1431246.5561752962</v>
      </c>
      <c r="AHX2" s="2" t="e">
        <f ca="1">_xll.RiskOutput("NPV")+NPV(3%,'WW CC no change'!O16:AR16)</f>
        <v>#VALUE!</v>
      </c>
      <c r="AHY2" s="1">
        <f>'WW CC no change'!$P$20</f>
        <v>1461889.7335485555</v>
      </c>
      <c r="AHZ2" s="2" t="e">
        <f ca="1">_xll.RiskOutput("NPV")+NPV(3%,'WW CC no change'!P16:AS16)</f>
        <v>#VALUE!</v>
      </c>
      <c r="AIA2" s="1">
        <f>'WW CC no change'!$Q$20</f>
        <v>1485052.2062430121</v>
      </c>
      <c r="AIB2" s="2" t="e">
        <f ca="1">_xll.RiskOutput("NPV")+NPV(3%,'WW CC no change'!Q16:AT16)</f>
        <v>#VALUE!</v>
      </c>
      <c r="AIC2" s="1">
        <f>'WW CC no change'!$R$20</f>
        <v>1411523.7724303028</v>
      </c>
      <c r="AID2" s="2" t="e">
        <f ca="1">_xll.RiskOutput("NPV")+NPV(3%,'WW CC no change'!R16:AU16)</f>
        <v>#VALUE!</v>
      </c>
      <c r="AIE2" s="1">
        <f>'WW CC no change'!$S$20</f>
        <v>1335789.4856032117</v>
      </c>
      <c r="AIF2" s="2" t="e">
        <f ca="1">_xll.RiskOutput("NPV")+NPV(3%,'WW CC no change'!S16:AV16)</f>
        <v>#VALUE!</v>
      </c>
      <c r="AIG2" s="1">
        <f>'WW CC no change'!$T$20</f>
        <v>1266183.1701713086</v>
      </c>
      <c r="AIH2" s="2" t="e">
        <f ca="1">_xll.RiskOutput("NPV")+NPV(3%,'WW CC no change'!T16:AW16)</f>
        <v>#VALUE!</v>
      </c>
      <c r="AII2" s="1">
        <f>'WW CC no change'!$U$20</f>
        <v>1177688.6652764473</v>
      </c>
      <c r="AIJ2" s="2" t="e">
        <f ca="1">_xll.RiskOutput("NPV")+NPV(3%,'WW CC no change'!U16:AX16)</f>
        <v>#VALUE!</v>
      </c>
      <c r="AIK2" s="1">
        <f>'WW CC no change'!$V$20</f>
        <v>1078139.3252347407</v>
      </c>
      <c r="AIL2" s="2" t="e">
        <f ca="1">_xll.RiskOutput("NPV")+NPV(3%,'WW CC no change'!V16:AY16)</f>
        <v>#VALUE!</v>
      </c>
      <c r="AIM2" s="1">
        <f>'WW CC no change'!$W$20</f>
        <v>992403.50499178306</v>
      </c>
      <c r="AIN2" s="2" t="e">
        <f ca="1">_xll.RiskOutput("NPV")+NPV(3%,'WW CC no change'!W16:AZ16)</f>
        <v>#VALUE!</v>
      </c>
      <c r="AIO2" s="1">
        <f>'WW CC no change'!$X$20</f>
        <v>920895.61014153669</v>
      </c>
      <c r="AIP2" s="2" t="e">
        <f ca="1">_xll.RiskOutput("NPV")+NPV(3%,'WW CC no change'!X16:BA16)</f>
        <v>#VALUE!</v>
      </c>
      <c r="AIQ2" s="1">
        <f>'WW CC no change'!$Y$20</f>
        <v>855642.47844578268</v>
      </c>
      <c r="AIR2" s="2" t="e">
        <f ca="1">_xll.RiskOutput("NPV")+NPV(3%,'WW CC no change'!Y16:BB16)</f>
        <v>#VALUE!</v>
      </c>
      <c r="AIS2" s="1">
        <f>'WW CC no change'!$Z$20</f>
        <v>754831.75279915624</v>
      </c>
      <c r="AIT2" s="2" t="e">
        <f ca="1">_xll.RiskOutput("NPV")+NPV(3%,'WW CC no change'!Z16:BC16)</f>
        <v>#VALUE!</v>
      </c>
      <c r="AIU2" s="1">
        <f>'WW CC no change'!$AA$20</f>
        <v>659396.70538313093</v>
      </c>
      <c r="AIV2" s="2" t="e">
        <f ca="1">_xll.RiskOutput("NPV")+NPV(3%,'WW CC no change'!AA16:BD16)</f>
        <v>#VALUE!</v>
      </c>
      <c r="AIW2" s="1">
        <f>'WW CC no change'!$AB$20</f>
        <v>544298.60654462501</v>
      </c>
      <c r="AIX2" s="2" t="e">
        <f ca="1">_xll.RiskOutput("NPV")+NPV(3%,'WW CC no change'!AB16:BE16)</f>
        <v>#VALUE!</v>
      </c>
      <c r="AIY2" s="1">
        <f>'WW CC no change'!$AC$20</f>
        <v>442547.56474096369</v>
      </c>
      <c r="AIZ2" s="2" t="e">
        <f ca="1">_xll.RiskOutput("NPV")+NPV(3%,'WW CC no change'!AC16:BF16)</f>
        <v>#VALUE!</v>
      </c>
      <c r="AJA2" s="1">
        <f>'WW CC no change'!$AD$20</f>
        <v>329343.99168319261</v>
      </c>
      <c r="AJB2" s="2" t="e">
        <f ca="1">_xll.RiskOutput("NPV")+NPV(3%,'WW CC no change'!AD16:BG16)</f>
        <v>#VALUE!</v>
      </c>
      <c r="AJC2" s="1">
        <f>'WW CC no change'!$AE$20</f>
        <v>221144.31143368836</v>
      </c>
      <c r="AJD2" s="2" t="e">
        <f ca="1">_xll.RiskOutput("NPV")+NPV(3%,'WW CC no change'!AE16:BH16)</f>
        <v>#VALUE!</v>
      </c>
      <c r="AJE2" s="1">
        <f>'WW CC no change'!$AF$20</f>
        <v>111378.64077669903</v>
      </c>
      <c r="AJF2" s="2" t="e">
        <f ca="1">_xll.RiskOutput("NPV")+NPV(3%,'WW CC no change'!AF16:BI16)</f>
        <v>#VALUE!</v>
      </c>
      <c r="AJG2">
        <f>'SW CC grad'!$B$8</f>
        <v>28.4</v>
      </c>
      <c r="AJH2" t="e">
        <f ca="1">RiskValStatic('SW CC grad'!B7)+_xll.RiskNormal('SW CC grad'!B7,4,_xll.RiskStatic('SW CC grad'!B7))</f>
        <v>#NAME?</v>
      </c>
      <c r="AJI2">
        <f>'SW CC grad'!$C$8</f>
        <v>28.4</v>
      </c>
      <c r="AJJ2" t="e">
        <f ca="1">RiskValStatic('SW CC grad'!C7)+_xll.RiskNormal('SW CC grad'!C7,4,_xll.RiskStatic('SW CC grad'!C7))</f>
        <v>#NAME?</v>
      </c>
      <c r="AJK2">
        <f>'SW CC grad'!$D$8</f>
        <v>27.9</v>
      </c>
      <c r="AJL2" t="e">
        <f ca="1">RiskValStatic('SW CC grad'!D7)+_xll.RiskNormal('SW CC grad'!D7,4,_xll.RiskStatic('SW CC grad'!D7))</f>
        <v>#NAME?</v>
      </c>
      <c r="AJM2">
        <f>'SW CC grad'!$E$8</f>
        <v>27.4</v>
      </c>
      <c r="AJN2" t="e">
        <f ca="1">RiskValStatic('SW CC grad'!E7)+_xll.RiskNormal('SW CC grad'!E7,4,_xll.RiskStatic('SW CC grad'!E7))</f>
        <v>#NAME?</v>
      </c>
      <c r="AJO2">
        <f>'SW CC grad'!$F$8</f>
        <v>28.4</v>
      </c>
      <c r="AJP2" t="e">
        <f ca="1">RiskValStatic('SW CC grad'!F7)+_xll.RiskNormal('SW CC grad'!F7,4,_xll.RiskStatic('SW CC grad'!F7))</f>
        <v>#NAME?</v>
      </c>
      <c r="AJQ2">
        <f>'SW CC grad'!$G$8</f>
        <v>27.4</v>
      </c>
      <c r="AJR2" t="e">
        <f ca="1">RiskValStatic('SW CC grad'!G7)+_xll.RiskNormal('SW CC grad'!G7,4,_xll.RiskStatic('SW CC grad'!G7))</f>
        <v>#NAME?</v>
      </c>
      <c r="AJS2">
        <f>'SW CC grad'!$H$8</f>
        <v>28.4</v>
      </c>
      <c r="AJT2" t="e">
        <f ca="1">RiskValStatic('SW CC grad'!H7)+_xll.RiskNormal('SW CC grad'!H7,4,_xll.RiskStatic('SW CC grad'!H7))</f>
        <v>#NAME?</v>
      </c>
      <c r="AJU2">
        <f>'SW CC grad'!$I$8</f>
        <v>27.4</v>
      </c>
      <c r="AJV2" t="e">
        <f ca="1">RiskValStatic('SW CC grad'!I7)+_xll.RiskNormal('SW CC grad'!I7,4,_xll.RiskStatic('SW CC grad'!I7))</f>
        <v>#NAME?</v>
      </c>
      <c r="AJW2">
        <f>'SW CC grad'!$J$8</f>
        <v>28.4</v>
      </c>
      <c r="AJX2" t="e">
        <f ca="1">RiskValStatic('SW CC grad'!J7)+_xll.RiskNormal('SW CC grad'!J7,4,_xll.RiskStatic('SW CC grad'!J7))</f>
        <v>#NAME?</v>
      </c>
      <c r="AJY2">
        <f>'SW CC grad'!$K$8</f>
        <v>27.4</v>
      </c>
      <c r="AJZ2" t="e">
        <f ca="1">RiskValStatic('SW CC grad'!K7)+_xll.RiskNormal('SW CC grad'!K7,4,_xll.RiskStatic('SW CC grad'!K7))</f>
        <v>#NAME?</v>
      </c>
      <c r="AKA2">
        <f>'SW CC grad'!$L$8</f>
        <v>26.4</v>
      </c>
      <c r="AKB2" t="e">
        <f ca="1">RiskValStatic('SW CC grad'!L7)+_xll.RiskNormal('SW CC grad'!L7,4,_xll.RiskStatic('SW CC grad'!L7))</f>
        <v>#NAME?</v>
      </c>
      <c r="AKC2">
        <f>'SW CC grad'!$M$8</f>
        <v>25.9</v>
      </c>
      <c r="AKD2" t="e">
        <f ca="1">RiskValStatic('SW CC grad'!M7)+_xll.RiskNormal('SW CC grad'!M7,4,_xll.RiskStatic('SW CC grad'!M7))</f>
        <v>#NAME?</v>
      </c>
      <c r="AKE2">
        <f>'SW CC grad'!$N$8</f>
        <v>25.4</v>
      </c>
      <c r="AKF2" t="e">
        <f ca="1">RiskValStatic('SW CC grad'!N7)+_xll.RiskNormal('SW CC grad'!N7,4,_xll.RiskStatic('SW CC grad'!N7))</f>
        <v>#NAME?</v>
      </c>
      <c r="AKG2">
        <f>'SW CC grad'!$O$8</f>
        <v>24.4</v>
      </c>
      <c r="AKH2" t="e">
        <f ca="1">RiskValStatic('SW CC grad'!O7)+_xll.RiskNormal('SW CC grad'!O7,4,_xll.RiskStatic('SW CC grad'!O7))</f>
        <v>#NAME?</v>
      </c>
      <c r="AKI2">
        <f>'SW CC grad'!$P$8</f>
        <v>25.4</v>
      </c>
      <c r="AKJ2" t="e">
        <f ca="1">RiskValStatic('SW CC grad'!P7)+_xll.RiskNormal('SW CC grad'!P7,4,_xll.RiskStatic('SW CC grad'!P7))</f>
        <v>#NAME?</v>
      </c>
      <c r="AKK2">
        <f>'SW CC grad'!$Q$8</f>
        <v>25.4</v>
      </c>
      <c r="AKL2" t="e">
        <f ca="1">RiskValStatic('SW CC grad'!Q7)+_xll.RiskNormal('SW CC grad'!Q7,4,_xll.RiskStatic('SW CC grad'!Q7))</f>
        <v>#NAME?</v>
      </c>
      <c r="AKM2">
        <f>'SW CC grad'!$R$8</f>
        <v>24.4</v>
      </c>
      <c r="AKN2" t="e">
        <f ca="1">RiskValStatic('SW CC grad'!R7)+_xll.RiskNormal('SW CC grad'!R7,4,_xll.RiskStatic('SW CC grad'!R7))</f>
        <v>#NAME?</v>
      </c>
      <c r="AKO2">
        <f>'SW CC grad'!$S$8</f>
        <v>24.9</v>
      </c>
      <c r="AKP2" t="e">
        <f ca="1">RiskValStatic('SW CC grad'!S7)+_xll.RiskNormal('SW CC grad'!S7,4,_xll.RiskStatic('SW CC grad'!S7))</f>
        <v>#NAME?</v>
      </c>
      <c r="AKQ2">
        <f>'SW CC grad'!$T$8</f>
        <v>26.4</v>
      </c>
      <c r="AKR2" t="e">
        <f ca="1">RiskValStatic('SW CC grad'!T7)+_xll.RiskNormal('SW CC grad'!T7,4,_xll.RiskStatic('SW CC grad'!T7))</f>
        <v>#NAME?</v>
      </c>
      <c r="AKS2">
        <f>'SW CC grad'!$U$8</f>
        <v>27.4</v>
      </c>
      <c r="AKT2" t="e">
        <f ca="1">RiskValStatic('SW CC grad'!U7)+_xll.RiskNormal('SW CC grad'!U7,4,_xll.RiskStatic('SW CC grad'!U7))</f>
        <v>#NAME?</v>
      </c>
      <c r="AKU2">
        <f>'SW CC grad'!$V$8</f>
        <v>25.4</v>
      </c>
      <c r="AKV2" t="e">
        <f ca="1">RiskValStatic('SW CC grad'!V7)+_xll.RiskNormal('SW CC grad'!V7,4,_xll.RiskStatic('SW CC grad'!V7))</f>
        <v>#NAME?</v>
      </c>
      <c r="AKW2">
        <f>'SW CC grad'!$W$8</f>
        <v>24.4</v>
      </c>
      <c r="AKX2" t="e">
        <f ca="1">RiskValStatic('SW CC grad'!W7)+_xll.RiskNormal('SW CC grad'!W7,4,_xll.RiskStatic('SW CC grad'!W7))</f>
        <v>#NAME?</v>
      </c>
      <c r="AKY2">
        <f>'SW CC grad'!$X$8</f>
        <v>26.4</v>
      </c>
      <c r="AKZ2" t="e">
        <f ca="1">RiskValStatic('SW CC grad'!X7)+_xll.RiskNormal('SW CC grad'!X7,4,_xll.RiskStatic('SW CC grad'!X7))</f>
        <v>#NAME?</v>
      </c>
      <c r="ALA2">
        <f>'SW CC grad'!$Y$8</f>
        <v>24.4</v>
      </c>
      <c r="ALB2" t="e">
        <f ca="1">RiskValStatic('SW CC grad'!Y7)+_xll.RiskNormal('SW CC grad'!Y7,4,_xll.RiskStatic('SW CC grad'!Y7))</f>
        <v>#NAME?</v>
      </c>
      <c r="ALC2">
        <f>'SW CC grad'!$Z$8</f>
        <v>23.4</v>
      </c>
      <c r="ALD2" t="e">
        <f ca="1">RiskValStatic('SW CC grad'!Z7)+_xll.RiskNormal('SW CC grad'!Z7,4,_xll.RiskStatic('SW CC grad'!Z7))</f>
        <v>#NAME?</v>
      </c>
      <c r="ALE2">
        <f>'SW CC grad'!$AA$8</f>
        <v>24.4</v>
      </c>
      <c r="ALF2" t="e">
        <f ca="1">RiskValStatic('SW CC grad'!AA7)+_xll.RiskNormal('SW CC grad'!AA7,4,_xll.RiskStatic('SW CC grad'!AA7))</f>
        <v>#NAME?</v>
      </c>
      <c r="ALG2">
        <f>'SW CC grad'!$AB$8</f>
        <v>23.9</v>
      </c>
      <c r="ALH2" t="e">
        <f ca="1">RiskValStatic('SW CC grad'!AB7)+_xll.RiskNormal('SW CC grad'!AB7,4,_xll.RiskStatic('SW CC grad'!AB7))</f>
        <v>#NAME?</v>
      </c>
      <c r="ALI2">
        <f>'SW CC grad'!$AC$8</f>
        <v>22.4</v>
      </c>
      <c r="ALJ2" t="e">
        <f ca="1">RiskValStatic('SW CC grad'!AC7)+_xll.RiskNormal('SW CC grad'!AC7,4,_xll.RiskStatic('SW CC grad'!AC7))</f>
        <v>#NAME?</v>
      </c>
      <c r="ALK2">
        <f>'SW CC grad'!$AD$8</f>
        <v>21.4</v>
      </c>
      <c r="ALL2" t="e">
        <f ca="1">RiskValStatic('SW CC grad'!AD7)+_xll.RiskNormal('SW CC grad'!AD7,4,_xll.RiskStatic('SW CC grad'!AD7))</f>
        <v>#NAME?</v>
      </c>
      <c r="ALM2">
        <f>'SW CC grad'!$AE$8</f>
        <v>21.4</v>
      </c>
      <c r="ALN2" t="e">
        <f ca="1">RiskValStatic('SW CC grad'!AE7)+_xll.RiskNormal('SW CC grad'!AE7,4,_xll.RiskStatic('SW CC grad'!AE7))</f>
        <v>#NAME?</v>
      </c>
      <c r="ALO2">
        <f>'SW CC grad'!$AF$8</f>
        <v>21.4</v>
      </c>
      <c r="ALP2" t="e">
        <f ca="1">RiskValStatic('SW CC grad'!AF7)+_xll.RiskNormal('SW CC grad'!AF7,4,_xll.RiskStatic('SW CC grad'!AF7))</f>
        <v>#NAME?</v>
      </c>
      <c r="ALQ2" s="2">
        <f>'SW CC grad'!$B$14</f>
        <v>249351.99999999997</v>
      </c>
      <c r="ALR2" t="e">
        <f ca="1">_xll.RiskOutput()+'SW CC grad'!B10*'SW CC grad'!B12</f>
        <v>#VALUE!</v>
      </c>
      <c r="ALS2" s="2">
        <f>'SW CC grad'!$C$14</f>
        <v>249351.99999999997</v>
      </c>
      <c r="ALT2" t="e">
        <f ca="1">_xll.RiskOutput()+'SW CC grad'!C10*'SW CC grad'!C12</f>
        <v>#VALUE!</v>
      </c>
      <c r="ALU2" s="2">
        <f>'SW CC grad'!$D$14</f>
        <v>244961.99999999997</v>
      </c>
      <c r="ALV2" t="e">
        <f ca="1">_xll.RiskOutput()+'SW CC grad'!D10*'SW CC grad'!D12</f>
        <v>#VALUE!</v>
      </c>
      <c r="ALW2" s="2">
        <f>'SW CC grad'!$E$14</f>
        <v>240571.99999999997</v>
      </c>
      <c r="ALX2" t="e">
        <f ca="1">_xll.RiskOutput()+'SW CC grad'!E10*'SW CC grad'!E12</f>
        <v>#VALUE!</v>
      </c>
      <c r="ALY2" s="2">
        <f>'SW CC grad'!$F$14</f>
        <v>249351.99999999997</v>
      </c>
      <c r="ALZ2" t="e">
        <f ca="1">_xll.RiskOutput()+'SW CC grad'!F10*'SW CC grad'!F12</f>
        <v>#VALUE!</v>
      </c>
      <c r="AMA2" s="2">
        <f>'SW CC grad'!$G$14</f>
        <v>240571.99999999997</v>
      </c>
      <c r="AMB2" t="e">
        <f ca="1">_xll.RiskOutput()+'SW CC grad'!G10*'SW CC grad'!G12</f>
        <v>#VALUE!</v>
      </c>
      <c r="AMC2" s="2">
        <f>'SW CC grad'!$H$14</f>
        <v>249351.99999999997</v>
      </c>
      <c r="AMD2" t="e">
        <f ca="1">_xll.RiskOutput()+'SW CC grad'!H10*'SW CC grad'!H12</f>
        <v>#VALUE!</v>
      </c>
      <c r="AME2" s="2">
        <f>'SW CC grad'!$I$14</f>
        <v>240571.99999999997</v>
      </c>
      <c r="AMF2" t="e">
        <f ca="1">_xll.RiskOutput()+'SW CC grad'!I10*'SW CC grad'!I12</f>
        <v>#VALUE!</v>
      </c>
      <c r="AMG2" s="2">
        <f>'SW CC grad'!$J$14</f>
        <v>249351.99999999997</v>
      </c>
      <c r="AMH2" t="e">
        <f ca="1">_xll.RiskOutput()+'SW CC grad'!J10*'SW CC grad'!J12</f>
        <v>#VALUE!</v>
      </c>
      <c r="AMI2" s="2">
        <f>'SW CC grad'!$K$14</f>
        <v>240571.99999999997</v>
      </c>
      <c r="AMJ2" t="e">
        <f ca="1">_xll.RiskOutput()+'SW CC grad'!K10*'SW CC grad'!K12</f>
        <v>#VALUE!</v>
      </c>
      <c r="AMK2" s="2">
        <f>'SW CC grad'!$L$14</f>
        <v>231791.99999999997</v>
      </c>
      <c r="AML2" t="e">
        <f ca="1">_xll.RiskOutput()+'SW CC grad'!L10*'SW CC grad'!L12</f>
        <v>#VALUE!</v>
      </c>
      <c r="AMM2" s="2">
        <f>'SW CC grad'!$M$14</f>
        <v>227401.99999999997</v>
      </c>
      <c r="AMN2" t="e">
        <f ca="1">_xll.RiskOutput()+'SW CC grad'!M10*'SW CC grad'!M12</f>
        <v>#VALUE!</v>
      </c>
      <c r="AMO2" s="2">
        <f>'SW CC grad'!$N$14</f>
        <v>223011.99999999997</v>
      </c>
      <c r="AMP2" t="e">
        <f ca="1">_xll.RiskOutput()+'SW CC grad'!N10*'SW CC grad'!N12</f>
        <v>#VALUE!</v>
      </c>
      <c r="AMQ2" s="2">
        <f>'SW CC grad'!$O$14</f>
        <v>214231.99999999997</v>
      </c>
      <c r="AMR2" t="e">
        <f ca="1">_xll.RiskOutput()+'SW CC grad'!O10*'SW CC grad'!O12</f>
        <v>#VALUE!</v>
      </c>
      <c r="AMS2" s="2">
        <f>'SW CC grad'!$P$14</f>
        <v>223011.99999999997</v>
      </c>
      <c r="AMT2" t="e">
        <f ca="1">_xll.RiskOutput()+'SW CC grad'!P10*'SW CC grad'!P12</f>
        <v>#VALUE!</v>
      </c>
      <c r="AMU2" s="2">
        <f>'SW CC grad'!$Q$14</f>
        <v>223011.99999999997</v>
      </c>
      <c r="AMV2" t="e">
        <f ca="1">_xll.RiskOutput()+'SW CC grad'!Q10*'SW CC grad'!Q12</f>
        <v>#VALUE!</v>
      </c>
      <c r="AMW2" s="2">
        <f>'SW CC grad'!$R$14</f>
        <v>214231.99999999997</v>
      </c>
      <c r="AMX2" t="e">
        <f ca="1">_xll.RiskOutput()+'SW CC grad'!R10*'SW CC grad'!R12</f>
        <v>#VALUE!</v>
      </c>
      <c r="AMY2" s="2">
        <f>'SW CC grad'!$S$14</f>
        <v>218621.99999999997</v>
      </c>
      <c r="AMZ2" t="e">
        <f ca="1">_xll.RiskOutput()+'SW CC grad'!S10*'SW CC grad'!S12</f>
        <v>#VALUE!</v>
      </c>
      <c r="ANA2" s="2">
        <f>'SW CC grad'!$T$14</f>
        <v>231791.99999999997</v>
      </c>
      <c r="ANB2" t="e">
        <f ca="1">_xll.RiskOutput()+'SW CC grad'!T10*'SW CC grad'!T12</f>
        <v>#VALUE!</v>
      </c>
      <c r="ANC2" s="2">
        <f>'SW CC grad'!$U$14</f>
        <v>240571.99999999997</v>
      </c>
      <c r="AND2" t="e">
        <f ca="1">_xll.RiskOutput()+'SW CC grad'!U10*'SW CC grad'!U12</f>
        <v>#VALUE!</v>
      </c>
      <c r="ANE2" s="2">
        <f>'SW CC grad'!$V$14</f>
        <v>223011.99999999997</v>
      </c>
      <c r="ANF2" t="e">
        <f ca="1">_xll.RiskOutput()+'SW CC grad'!V10*'SW CC grad'!V12</f>
        <v>#VALUE!</v>
      </c>
      <c r="ANG2" s="2">
        <f>'SW CC grad'!$W$14</f>
        <v>214231.99999999997</v>
      </c>
      <c r="ANH2" t="e">
        <f ca="1">_xll.RiskOutput()+'SW CC grad'!W10*'SW CC grad'!W12</f>
        <v>#VALUE!</v>
      </c>
      <c r="ANI2" s="2">
        <f>'SW CC grad'!$X$14</f>
        <v>231791.99999999997</v>
      </c>
      <c r="ANJ2" t="e">
        <f ca="1">_xll.RiskOutput()+'SW CC grad'!X10*'SW CC grad'!X12</f>
        <v>#VALUE!</v>
      </c>
      <c r="ANK2" s="2">
        <f>'SW CC grad'!$Y$14</f>
        <v>214231.99999999997</v>
      </c>
      <c r="ANL2" t="e">
        <f ca="1">_xll.RiskOutput()+'SW CC grad'!Y10*'SW CC grad'!Y12</f>
        <v>#VALUE!</v>
      </c>
      <c r="ANM2" s="2">
        <f>'SW CC grad'!$Z$14</f>
        <v>205451.99999999997</v>
      </c>
      <c r="ANN2" t="e">
        <f ca="1">_xll.RiskOutput()+'SW CC grad'!Z10*'SW CC grad'!Z12</f>
        <v>#VALUE!</v>
      </c>
      <c r="ANO2" s="2">
        <f>'SW CC grad'!$AA$14</f>
        <v>214231.99999999997</v>
      </c>
      <c r="ANP2" t="e">
        <f ca="1">_xll.RiskOutput()+'SW CC grad'!AA10*'SW CC grad'!AA12</f>
        <v>#VALUE!</v>
      </c>
      <c r="ANQ2" s="2">
        <f>'SW CC grad'!$AB$14</f>
        <v>209841.99999999997</v>
      </c>
      <c r="ANR2" t="e">
        <f ca="1">_xll.RiskOutput()+'SW CC grad'!AB10*'SW CC grad'!AB12</f>
        <v>#VALUE!</v>
      </c>
      <c r="ANS2" s="2">
        <f>'SW CC grad'!$AC$14</f>
        <v>196672</v>
      </c>
      <c r="ANT2" t="e">
        <f ca="1">_xll.RiskOutput()+'SW CC grad'!AC10*'SW CC grad'!AC12</f>
        <v>#VALUE!</v>
      </c>
      <c r="ANU2" s="2">
        <f>'SW CC grad'!$AD$14</f>
        <v>187892</v>
      </c>
      <c r="ANV2" t="e">
        <f ca="1">_xll.RiskOutput()+'SW CC grad'!AD10*'SW CC grad'!AD12</f>
        <v>#VALUE!</v>
      </c>
      <c r="ANW2" s="2">
        <f>'SW CC grad'!$AE$14</f>
        <v>187892</v>
      </c>
      <c r="ANX2" t="e">
        <f ca="1">_xll.RiskOutput()+'SW CC grad'!AE10*'SW CC grad'!AE12</f>
        <v>#VALUE!</v>
      </c>
      <c r="ANY2" s="2">
        <f>'SW CC grad'!$AF$14</f>
        <v>187892</v>
      </c>
      <c r="ANZ2" t="e">
        <f ca="1">_xll.RiskOutput()+'SW CC grad'!AF10*'SW CC grad'!AF12</f>
        <v>#VALUE!</v>
      </c>
      <c r="AOA2" s="2">
        <f>'SW CC grad'!$B$15</f>
        <v>62151.999999999971</v>
      </c>
      <c r="AOB2" s="2" t="e">
        <f ca="1">_xll.RiskOutput()+'SW CC grad'!B14-'SW CC grad'!B11</f>
        <v>#VALUE!</v>
      </c>
      <c r="AOC2" s="2">
        <f>'SW CC grad'!$C$15</f>
        <v>62151.999999999971</v>
      </c>
      <c r="AOD2" s="2" t="e">
        <f ca="1">_xll.RiskOutput()+'SW CC grad'!C14-'SW CC grad'!C11</f>
        <v>#VALUE!</v>
      </c>
      <c r="AOE2" s="2">
        <f>'SW CC grad'!$D$15</f>
        <v>57761.999999999971</v>
      </c>
      <c r="AOF2" s="2" t="e">
        <f ca="1">_xll.RiskOutput()+'SW CC grad'!D14-'SW CC grad'!D11</f>
        <v>#VALUE!</v>
      </c>
      <c r="AOG2" s="2">
        <f>'SW CC grad'!$E$15</f>
        <v>53371.999999999971</v>
      </c>
      <c r="AOH2" s="2" t="e">
        <f ca="1">_xll.RiskOutput()+'SW CC grad'!E14-'SW CC grad'!E11</f>
        <v>#VALUE!</v>
      </c>
      <c r="AOI2" s="2">
        <f>'SW CC grad'!$F$15</f>
        <v>62151.999999999971</v>
      </c>
      <c r="AOJ2" s="2" t="e">
        <f ca="1">_xll.RiskOutput()+'SW CC grad'!F14-'SW CC grad'!F11</f>
        <v>#VALUE!</v>
      </c>
      <c r="AOK2" s="2">
        <f>'SW CC grad'!$G$15</f>
        <v>53371.999999999971</v>
      </c>
      <c r="AOL2" s="2" t="e">
        <f ca="1">_xll.RiskOutput()+'SW CC grad'!G14-'SW CC grad'!G11</f>
        <v>#VALUE!</v>
      </c>
      <c r="AOM2" s="2">
        <f>'SW CC grad'!$H$15</f>
        <v>62151.999999999971</v>
      </c>
      <c r="AON2" s="2" t="e">
        <f ca="1">_xll.RiskOutput()+'SW CC grad'!H14-'SW CC grad'!H11</f>
        <v>#VALUE!</v>
      </c>
      <c r="AOO2" s="2">
        <f>'SW CC grad'!$I$15</f>
        <v>53371.999999999971</v>
      </c>
      <c r="AOP2" s="2" t="e">
        <f ca="1">_xll.RiskOutput()+'SW CC grad'!I14-'SW CC grad'!I11</f>
        <v>#VALUE!</v>
      </c>
      <c r="AOQ2" s="2">
        <f>'SW CC grad'!$J$15</f>
        <v>62151.999999999971</v>
      </c>
      <c r="AOR2" s="2" t="e">
        <f ca="1">_xll.RiskOutput()+'SW CC grad'!J14-'SW CC grad'!J11</f>
        <v>#VALUE!</v>
      </c>
      <c r="AOS2" s="2">
        <f>'SW CC grad'!$K$15</f>
        <v>53371.999999999971</v>
      </c>
      <c r="AOT2" s="2" t="e">
        <f ca="1">_xll.RiskOutput()+'SW CC grad'!K14-'SW CC grad'!K11</f>
        <v>#VALUE!</v>
      </c>
      <c r="AOU2" s="2">
        <f>'SW CC grad'!$L$15</f>
        <v>44591.999999999971</v>
      </c>
      <c r="AOV2" s="2" t="e">
        <f ca="1">_xll.RiskOutput()+'SW CC grad'!L14-'SW CC grad'!L11</f>
        <v>#VALUE!</v>
      </c>
      <c r="AOW2" s="2">
        <f>'SW CC grad'!$M$15</f>
        <v>40201.999999999971</v>
      </c>
      <c r="AOX2" s="2" t="e">
        <f ca="1">_xll.RiskOutput()+'SW CC grad'!M14-'SW CC grad'!M11</f>
        <v>#VALUE!</v>
      </c>
      <c r="AOY2" s="2">
        <f>'SW CC grad'!$N$15</f>
        <v>35811.999999999971</v>
      </c>
      <c r="AOZ2" s="2" t="e">
        <f ca="1">_xll.RiskOutput()+'SW CC grad'!N14-'SW CC grad'!N11</f>
        <v>#VALUE!</v>
      </c>
      <c r="APA2" s="2">
        <f>'SW CC grad'!$O$15</f>
        <v>27031.999999999971</v>
      </c>
      <c r="APB2" s="2" t="e">
        <f ca="1">_xll.RiskOutput()+'SW CC grad'!O14-'SW CC grad'!O11</f>
        <v>#VALUE!</v>
      </c>
      <c r="APC2" s="2">
        <f>'SW CC grad'!$P$15</f>
        <v>35811.999999999971</v>
      </c>
      <c r="APD2" s="2" t="e">
        <f ca="1">_xll.RiskOutput()+'SW CC grad'!P14-'SW CC grad'!P11</f>
        <v>#VALUE!</v>
      </c>
      <c r="APE2" s="2">
        <f>'SW CC grad'!$Q$15</f>
        <v>35811.999999999971</v>
      </c>
      <c r="APF2" s="2" t="e">
        <f ca="1">_xll.RiskOutput()+'SW CC grad'!Q14-'SW CC grad'!Q11</f>
        <v>#VALUE!</v>
      </c>
      <c r="APG2" s="2">
        <f>'SW CC grad'!$R$15</f>
        <v>27031.999999999971</v>
      </c>
      <c r="APH2" s="2" t="e">
        <f ca="1">_xll.RiskOutput()+'SW CC grad'!R14-'SW CC grad'!R11</f>
        <v>#VALUE!</v>
      </c>
      <c r="API2" s="2">
        <f>'SW CC grad'!$S$15</f>
        <v>31421.999999999971</v>
      </c>
      <c r="APJ2" s="2" t="e">
        <f ca="1">_xll.RiskOutput()+'SW CC grad'!S14-'SW CC grad'!S11</f>
        <v>#VALUE!</v>
      </c>
      <c r="APK2" s="2">
        <f>'SW CC grad'!$T$15</f>
        <v>44591.999999999971</v>
      </c>
      <c r="APL2" s="2" t="e">
        <f ca="1">_xll.RiskOutput()+'SW CC grad'!T14-'SW CC grad'!T11</f>
        <v>#VALUE!</v>
      </c>
      <c r="APM2" s="2">
        <f>'SW CC grad'!$U$15</f>
        <v>53371.999999999971</v>
      </c>
      <c r="APN2" s="2" t="e">
        <f ca="1">_xll.RiskOutput()+'SW CC grad'!U14-'SW CC grad'!U11</f>
        <v>#VALUE!</v>
      </c>
      <c r="APO2" s="2">
        <f>'SW CC grad'!$V$15</f>
        <v>35811.999999999971</v>
      </c>
      <c r="APP2" s="2" t="e">
        <f ca="1">_xll.RiskOutput()+'SW CC grad'!V14-'SW CC grad'!V11</f>
        <v>#VALUE!</v>
      </c>
      <c r="APQ2" s="2">
        <f>'SW CC grad'!$W$15</f>
        <v>27031.999999999971</v>
      </c>
      <c r="APR2" s="2" t="e">
        <f ca="1">_xll.RiskOutput()+'SW CC grad'!W14-'SW CC grad'!W11</f>
        <v>#VALUE!</v>
      </c>
      <c r="APS2" s="2">
        <f>'SW CC grad'!$X$15</f>
        <v>44591.999999999971</v>
      </c>
      <c r="APT2" s="2" t="e">
        <f ca="1">_xll.RiskOutput()+'SW CC grad'!X14-'SW CC grad'!X11</f>
        <v>#VALUE!</v>
      </c>
      <c r="APU2" s="2">
        <f>'SW CC grad'!$Y$15</f>
        <v>27031.999999999971</v>
      </c>
      <c r="APV2" s="2" t="e">
        <f ca="1">_xll.RiskOutput()+'SW CC grad'!Y14-'SW CC grad'!Y11</f>
        <v>#VALUE!</v>
      </c>
      <c r="APW2" s="2">
        <f>'SW CC grad'!$Z$15</f>
        <v>18251.999999999971</v>
      </c>
      <c r="APX2" s="2" t="e">
        <f ca="1">_xll.RiskOutput()+'SW CC grad'!Z14-'SW CC grad'!Z11</f>
        <v>#VALUE!</v>
      </c>
      <c r="APY2" s="2">
        <f>'SW CC grad'!$AA$15</f>
        <v>27031.999999999971</v>
      </c>
      <c r="APZ2" s="2" t="e">
        <f ca="1">_xll.RiskOutput()+'SW CC grad'!AA14-'SW CC grad'!AA11</f>
        <v>#VALUE!</v>
      </c>
      <c r="AQA2" s="2">
        <f>'SW CC grad'!$AB$15</f>
        <v>22641.999999999971</v>
      </c>
      <c r="AQB2" s="2" t="e">
        <f ca="1">_xll.RiskOutput()+'SW CC grad'!AB14-'SW CC grad'!AB11</f>
        <v>#VALUE!</v>
      </c>
      <c r="AQC2" s="2">
        <f>'SW CC grad'!$AC$15</f>
        <v>9472</v>
      </c>
      <c r="AQD2" s="2" t="e">
        <f ca="1">_xll.RiskOutput()+'SW CC grad'!AC14-'SW CC grad'!AC11</f>
        <v>#VALUE!</v>
      </c>
      <c r="AQE2" s="2">
        <f>'SW CC grad'!$AD$15</f>
        <v>692</v>
      </c>
      <c r="AQF2" s="2" t="e">
        <f ca="1">_xll.RiskOutput()+'SW CC grad'!AD14-'SW CC grad'!AD11</f>
        <v>#VALUE!</v>
      </c>
      <c r="AQG2" s="2">
        <f>'SW CC grad'!$AE$15</f>
        <v>692</v>
      </c>
      <c r="AQH2" s="2" t="e">
        <f ca="1">_xll.RiskOutput()+'SW CC grad'!AE14-'SW CC grad'!AE11</f>
        <v>#VALUE!</v>
      </c>
      <c r="AQI2" s="2">
        <f>'SW CC grad'!$AF$15</f>
        <v>692</v>
      </c>
      <c r="AQJ2" s="2" t="e">
        <f ca="1">_xll.RiskOutput()+'SW CC grad'!AF14-'SW CC grad'!AF11</f>
        <v>#VALUE!</v>
      </c>
      <c r="AQK2" s="1">
        <f>'SW CC grad'!$B$19</f>
        <v>840989.68973188393</v>
      </c>
      <c r="AQL2" s="2" t="e">
        <f ca="1">_xll.RiskOutput("NPV")+NPV(3%,'SW CC grad'!B15:AF15)</f>
        <v>#VALUE!</v>
      </c>
      <c r="AQM2" s="1">
        <f>'SW CC grad'!$C$19</f>
        <v>804067.3804238406</v>
      </c>
      <c r="AQN2" s="2" t="e">
        <f ca="1">_xll.RiskOutput("NPV")+NPV(3%,'SW CC grad'!C15:AF15)</f>
        <v>#VALUE!</v>
      </c>
      <c r="AQO2" s="1">
        <f>'SW CC grad'!$D$19</f>
        <v>766037.4018365558</v>
      </c>
      <c r="AQP2" s="2" t="e">
        <f ca="1">_xll.RiskOutput("NPV")+NPV(3%,'SW CC grad'!D15:AF15)</f>
        <v>#VALUE!</v>
      </c>
      <c r="AQQ2" s="1">
        <f>'SW CC grad'!$E$19</f>
        <v>731256.52389165259</v>
      </c>
      <c r="AQR2" s="2" t="e">
        <f ca="1">_xll.RiskOutput("NPV")+NPV(3%,'SW CC grad'!E15:AF15)</f>
        <v>#VALUE!</v>
      </c>
      <c r="AQS2" s="1">
        <f>'SW CC grad'!$F$19</f>
        <v>699822.21960840223</v>
      </c>
      <c r="AQT2" s="2" t="e">
        <f ca="1">_xll.RiskOutput("NPV")+NPV(3%,'SW CC grad'!F15:AF15)</f>
        <v>#VALUE!</v>
      </c>
      <c r="AQU2" s="1">
        <f>'SW CC grad'!$G$19</f>
        <v>658664.88619665429</v>
      </c>
      <c r="AQV2" s="2" t="e">
        <f ca="1">_xll.RiskOutput("NPV")+NPV(3%,'SW CC grad'!G15:AF15)</f>
        <v>#VALUE!</v>
      </c>
      <c r="AQW2" s="1">
        <f>'SW CC grad'!$H$19</f>
        <v>625052.83278255386</v>
      </c>
      <c r="AQX2" s="2" t="e">
        <f ca="1">_xll.RiskOutput("NPV")+NPV(3%,'SW CC grad'!H15:AF15)</f>
        <v>#VALUE!</v>
      </c>
      <c r="AQY2" s="1">
        <f>'SW CC grad'!$I$19</f>
        <v>581652.41776603064</v>
      </c>
      <c r="AQZ2" s="2" t="e">
        <f ca="1">_xll.RiskOutput("NPV")+NPV(3%,'SW CC grad'!I15:AF15)</f>
        <v>#VALUE!</v>
      </c>
      <c r="ARA2" s="1">
        <f>'SW CC grad'!$J$19</f>
        <v>545729.9902990117</v>
      </c>
      <c r="ARB2" s="2" t="e">
        <f ca="1">_xll.RiskOutput("NPV")+NPV(3%,'SW CC grad'!J15:AF15)</f>
        <v>#VALUE!</v>
      </c>
      <c r="ARC2" s="1">
        <f>'SW CC grad'!$K$19</f>
        <v>499949.89000798197</v>
      </c>
      <c r="ARD2" s="2" t="e">
        <f ca="1">_xll.RiskOutput("NPV")+NPV(3%,'SW CC grad'!K15:AF15)</f>
        <v>#VALUE!</v>
      </c>
      <c r="ARE2" s="1">
        <f>'SW CC grad'!$L$19</f>
        <v>461576.38670822157</v>
      </c>
      <c r="ARF2" s="2" t="e">
        <f ca="1">_xll.RiskOutput("NPV")+NPV(3%,'SW CC grad'!L15:AO15)</f>
        <v>#VALUE!</v>
      </c>
      <c r="ARG2" s="1">
        <f>'SW CC grad'!$M$19</f>
        <v>430831.6783094682</v>
      </c>
      <c r="ARH2" s="2" t="e">
        <f ca="1">_xll.RiskOutput("NPV")+NPV(3%,'SW CC grad'!M15:AP15)</f>
        <v>#VALUE!</v>
      </c>
      <c r="ARI2" s="1">
        <f>'SW CC grad'!$N$19</f>
        <v>403554.62865875225</v>
      </c>
      <c r="ARJ2" s="2" t="e">
        <f ca="1">_xll.RiskOutput("NPV")+NPV(3%,'SW CC grad'!N15:AQ15)</f>
        <v>#VALUE!</v>
      </c>
      <c r="ARK2" s="1">
        <f>'SW CC grad'!$O$19</f>
        <v>379849.26751851488</v>
      </c>
      <c r="ARL2" s="2" t="e">
        <f ca="1">_xll.RiskOutput("NPV")+NPV(3%,'SW CC grad'!O15:AR15)</f>
        <v>#VALUE!</v>
      </c>
      <c r="ARM2" s="1">
        <f>'SW CC grad'!$P$19</f>
        <v>364212.74554407044</v>
      </c>
      <c r="ARN2" s="2" t="e">
        <f ca="1">_xll.RiskOutput("NPV")+NPV(3%,'SW CC grad'!P15:AS15)</f>
        <v>#VALUE!</v>
      </c>
      <c r="ARO2" s="1">
        <f>'SW CC grad'!$Q$19</f>
        <v>339327.12791039248</v>
      </c>
      <c r="ARP2" s="2" t="e">
        <f ca="1">_xll.RiskOutput("NPV")+NPV(3%,'SW CC grad'!Q15:AT15)</f>
        <v>#VALUE!</v>
      </c>
      <c r="ARQ2" s="1">
        <f>'SW CC grad'!$R$19</f>
        <v>313694.94174770429</v>
      </c>
      <c r="ARR2" s="2" t="e">
        <f ca="1">_xll.RiskOutput("NPV")+NPV(3%,'SW CC grad'!R15:AU15)</f>
        <v>#VALUE!</v>
      </c>
      <c r="ARS2" s="1">
        <f>'SW CC grad'!$S$19</f>
        <v>296073.79000013554</v>
      </c>
      <c r="ART2" s="2" t="e">
        <f ca="1">_xll.RiskOutput("NPV")+NPV(3%,'SW CC grad'!S15:AV15)</f>
        <v>#VALUE!</v>
      </c>
      <c r="ARU2" s="1">
        <f>'SW CC grad'!$T$19</f>
        <v>273534.00370013964</v>
      </c>
      <c r="ARV2" s="2" t="e">
        <f ca="1">_xll.RiskOutput("NPV")+NPV(3%,'SW CC grad'!T15:AW15)</f>
        <v>#VALUE!</v>
      </c>
      <c r="ARW2" s="1">
        <f>'SW CC grad'!$U$19</f>
        <v>237148.02381114391</v>
      </c>
      <c r="ARX2" s="2" t="e">
        <f ca="1">_xll.RiskOutput("NPV")+NPV(3%,'SW CC grad'!U15:AX15)</f>
        <v>#VALUE!</v>
      </c>
      <c r="ARY2" s="1">
        <f>'SW CC grad'!$V$19</f>
        <v>190890.46452547819</v>
      </c>
      <c r="ARZ2" s="2" t="e">
        <f ca="1">_xll.RiskOutput("NPV")+NPV(3%,'SW CC grad'!V15:AY15)</f>
        <v>#VALUE!</v>
      </c>
      <c r="ASA2" s="1">
        <f>'SW CC grad'!$W$19</f>
        <v>160805.17846124261</v>
      </c>
      <c r="ASB2" s="2" t="e">
        <f ca="1">_xll.RiskOutput("NPV")+NPV(3%,'SW CC grad'!W15:AZ15)</f>
        <v>#VALUE!</v>
      </c>
      <c r="ASC2" s="1">
        <f>'SW CC grad'!$X$19</f>
        <v>138597.33381507991</v>
      </c>
      <c r="ASD2" s="2" t="e">
        <f ca="1">_xll.RiskOutput("NPV")+NPV(3%,'SW CC grad'!X15:BA15)</f>
        <v>#VALUE!</v>
      </c>
      <c r="ASE2" s="1">
        <f>'SW CC grad'!$Y$19</f>
        <v>98163.253829532332</v>
      </c>
      <c r="ASF2" s="2" t="e">
        <f ca="1">_xll.RiskOutput("NPV")+NPV(3%,'SW CC grad'!Y15:BB15)</f>
        <v>#VALUE!</v>
      </c>
      <c r="ASG2" s="1">
        <f>'SW CC grad'!$Z$19</f>
        <v>74076.151444418312</v>
      </c>
      <c r="ASH2" s="2" t="e">
        <f ca="1">_xll.RiskOutput("NPV")+NPV(3%,'SW CC grad'!Z15:BC15)</f>
        <v>#VALUE!</v>
      </c>
      <c r="ASI2" s="1">
        <f>'SW CC grad'!$AA$19</f>
        <v>58046.435987750876</v>
      </c>
      <c r="ASJ2" s="2" t="e">
        <f ca="1">_xll.RiskOutput("NPV")+NPV(3%,'SW CC grad'!AA15:BD15)</f>
        <v>#VALUE!</v>
      </c>
      <c r="ASK2" s="1">
        <f>'SW CC grad'!$AB$19</f>
        <v>32755.829067383442</v>
      </c>
      <c r="ASL2" s="2" t="e">
        <f ca="1">_xll.RiskOutput("NPV")+NPV(3%,'SW CC grad'!AB15:BE15)</f>
        <v>#VALUE!</v>
      </c>
      <c r="ASM2" s="1">
        <f>'SW CC grad'!$AC$19</f>
        <v>11096.503939404971</v>
      </c>
      <c r="ASN2" s="2" t="e">
        <f ca="1">_xll.RiskOutput("NPV")+NPV(3%,'SW CC grad'!AC15:BF15)</f>
        <v>#VALUE!</v>
      </c>
      <c r="ASO2" s="1">
        <f>'SW CC grad'!$AD$19</f>
        <v>1957.3990575871189</v>
      </c>
      <c r="ASP2" s="2" t="e">
        <f ca="1">_xll.RiskOutput("NPV")+NPV(3%,'SW CC grad'!AD15:BG15)</f>
        <v>#VALUE!</v>
      </c>
      <c r="ASQ2" s="1">
        <f>'SW CC grad'!$AE$19</f>
        <v>1324.1210293147326</v>
      </c>
      <c r="ASR2" s="2" t="e">
        <f ca="1">_xll.RiskOutput("NPV")+NPV(3%,'SW CC grad'!AE15:BH15)</f>
        <v>#VALUE!</v>
      </c>
      <c r="ASS2" s="1">
        <f>'SW CC grad'!$AF$19</f>
        <v>671.84466019417471</v>
      </c>
      <c r="AST2" s="2" t="e">
        <f ca="1">_xll.RiskOutput("NPV")+NPV(3%,'SW CC grad'!AF15:BI15)</f>
        <v>#VALUE!</v>
      </c>
      <c r="ASU2">
        <f>'SW SF grad'!$B$8</f>
        <v>34.4</v>
      </c>
      <c r="ASV2" t="e">
        <f ca="1">RiskValStatic('SW SF grad'!B7)+_xll.RiskNormal('SW SF grad'!B7,4,_xll.RiskStatic('SW SF grad'!B7))</f>
        <v>#NAME?</v>
      </c>
      <c r="ASW2">
        <f>'SW SF grad'!$C$8</f>
        <v>34.4</v>
      </c>
      <c r="ASX2" t="e">
        <f ca="1">RiskValStatic('SW SF grad'!C7)+_xll.RiskNormal('SW SF grad'!C7,4,_xll.RiskStatic('SW SF grad'!C7))</f>
        <v>#NAME?</v>
      </c>
      <c r="ASY2">
        <f>'SW SF grad'!$D$8</f>
        <v>33.9</v>
      </c>
      <c r="ASZ2" t="e">
        <f ca="1">RiskValStatic('SW SF grad'!D7)+_xll.RiskNormal('SW SF grad'!D7,4,_xll.RiskStatic('SW SF grad'!D7))</f>
        <v>#NAME?</v>
      </c>
      <c r="ATA2">
        <f>'SW SF grad'!$E$8</f>
        <v>33.4</v>
      </c>
      <c r="ATB2" t="e">
        <f ca="1">RiskValStatic('SW SF grad'!E7)+_xll.RiskNormal('SW SF grad'!E7,4,_xll.RiskStatic('SW SF grad'!E7))</f>
        <v>#NAME?</v>
      </c>
      <c r="ATC2">
        <f>'SW SF grad'!$F$8</f>
        <v>34.4</v>
      </c>
      <c r="ATD2" t="e">
        <f ca="1">RiskValStatic('SW SF grad'!F7)+_xll.RiskNormal('SW SF grad'!F7,4,_xll.RiskStatic('SW SF grad'!F7))</f>
        <v>#NAME?</v>
      </c>
      <c r="ATE2">
        <f>'SW SF grad'!$G$8</f>
        <v>33.4</v>
      </c>
      <c r="ATF2" t="e">
        <f ca="1">RiskValStatic('SW SF grad'!G7)+_xll.RiskNormal('SW SF grad'!G7,4,_xll.RiskStatic('SW SF grad'!G7))</f>
        <v>#NAME?</v>
      </c>
      <c r="ATG2">
        <f>'SW SF grad'!$H$8</f>
        <v>34.4</v>
      </c>
      <c r="ATH2" t="e">
        <f ca="1">RiskValStatic('SW SF grad'!H7)+_xll.RiskNormal('SW SF grad'!H7,4,_xll.RiskStatic('SW SF grad'!H7))</f>
        <v>#NAME?</v>
      </c>
      <c r="ATI2">
        <f>'SW SF grad'!$I$8</f>
        <v>33.4</v>
      </c>
      <c r="ATJ2" t="e">
        <f ca="1">RiskValStatic('SW SF grad'!I7)+_xll.RiskNormal('SW SF grad'!I7,4,_xll.RiskStatic('SW SF grad'!I7))</f>
        <v>#NAME?</v>
      </c>
      <c r="ATK2">
        <f>'SW SF grad'!$J$8</f>
        <v>34.4</v>
      </c>
      <c r="ATL2" t="e">
        <f ca="1">RiskValStatic('SW SF grad'!J7)+_xll.RiskNormal('SW SF grad'!J7,4,_xll.RiskStatic('SW SF grad'!J7))</f>
        <v>#NAME?</v>
      </c>
      <c r="ATM2">
        <f>'SW SF grad'!$K$8</f>
        <v>33.4</v>
      </c>
      <c r="ATN2" t="e">
        <f ca="1">RiskValStatic('SW SF grad'!K7)+_xll.RiskNormal('SW SF grad'!K7,4,_xll.RiskStatic('SW SF grad'!K7))</f>
        <v>#NAME?</v>
      </c>
      <c r="ATO2">
        <f>'SW SF grad'!$L$8</f>
        <v>32.4</v>
      </c>
      <c r="ATP2" t="e">
        <f ca="1">RiskValStatic('SW SF grad'!L7)+_xll.RiskNormal('SW SF grad'!L7,4,_xll.RiskStatic('SW SF grad'!L7))</f>
        <v>#NAME?</v>
      </c>
      <c r="ATQ2">
        <f>'SW SF grad'!$M$8</f>
        <v>31.9</v>
      </c>
      <c r="ATR2" t="e">
        <f ca="1">RiskValStatic('SW SF grad'!M7)+_xll.RiskNormal('SW SF grad'!M7,4,_xll.RiskStatic('SW SF grad'!M7))</f>
        <v>#NAME?</v>
      </c>
      <c r="ATS2">
        <f>'SW SF grad'!$N$8</f>
        <v>31.4</v>
      </c>
      <c r="ATT2" t="e">
        <f ca="1">RiskValStatic('SW SF grad'!N7)+_xll.RiskNormal('SW SF grad'!N7,4,_xll.RiskStatic('SW SF grad'!N7))</f>
        <v>#NAME?</v>
      </c>
      <c r="ATU2">
        <f>'SW SF grad'!$O$8</f>
        <v>30.4</v>
      </c>
      <c r="ATV2" t="e">
        <f ca="1">RiskValStatic('SW SF grad'!O7)+_xll.RiskNormal('SW SF grad'!O7,4,_xll.RiskStatic('SW SF grad'!O7))</f>
        <v>#NAME?</v>
      </c>
      <c r="ATW2">
        <f>'SW SF grad'!$P$8</f>
        <v>31.4</v>
      </c>
      <c r="ATX2" t="e">
        <f ca="1">RiskValStatic('SW SF grad'!P7)+_xll.RiskNormal('SW SF grad'!P7,4,_xll.RiskStatic('SW SF grad'!P7))</f>
        <v>#NAME?</v>
      </c>
      <c r="ATY2">
        <f>'SW SF grad'!$Q$8</f>
        <v>31.4</v>
      </c>
      <c r="ATZ2" t="e">
        <f ca="1">RiskValStatic('SW SF grad'!Q7)+_xll.RiskNormal('SW SF grad'!Q7,4,_xll.RiskStatic('SW SF grad'!Q7))</f>
        <v>#NAME?</v>
      </c>
      <c r="AUA2">
        <f>'SW SF grad'!$R$8</f>
        <v>30.4</v>
      </c>
      <c r="AUB2" t="e">
        <f ca="1">RiskValStatic('SW SF grad'!R7)+_xll.RiskNormal('SW SF grad'!R7,4,_xll.RiskStatic('SW SF grad'!R7))</f>
        <v>#NAME?</v>
      </c>
      <c r="AUC2">
        <f>'SW SF grad'!$S$8</f>
        <v>30.9</v>
      </c>
      <c r="AUD2" t="e">
        <f ca="1">RiskValStatic('SW SF grad'!S7)+_xll.RiskNormal('SW SF grad'!S7,4,_xll.RiskStatic('SW SF grad'!S7))</f>
        <v>#NAME?</v>
      </c>
      <c r="AUE2">
        <f>'SW SF grad'!$T$8</f>
        <v>32.4</v>
      </c>
      <c r="AUF2" t="e">
        <f ca="1">RiskValStatic('SW SF grad'!T7)+_xll.RiskNormal('SW SF grad'!T7,4,_xll.RiskStatic('SW SF grad'!T7))</f>
        <v>#NAME?</v>
      </c>
      <c r="AUG2">
        <f>'SW SF grad'!$U$8</f>
        <v>33.4</v>
      </c>
      <c r="AUH2" t="e">
        <f ca="1">RiskValStatic('SW SF grad'!U7)+_xll.RiskNormal('SW SF grad'!U7,4,_xll.RiskStatic('SW SF grad'!U7))</f>
        <v>#NAME?</v>
      </c>
      <c r="AUI2">
        <f>'SW SF grad'!$V$8</f>
        <v>31.4</v>
      </c>
      <c r="AUJ2" t="e">
        <f ca="1">RiskValStatic('SW SF grad'!V7)+_xll.RiskNormal('SW SF grad'!V7,4,_xll.RiskStatic('SW SF grad'!V7))</f>
        <v>#NAME?</v>
      </c>
      <c r="AUK2">
        <f>'SW SF grad'!$W$8</f>
        <v>30.4</v>
      </c>
      <c r="AUL2" t="e">
        <f ca="1">RiskValStatic('SW SF grad'!W7)+_xll.RiskNormal('SW SF grad'!W7,4,_xll.RiskStatic('SW SF grad'!W7))</f>
        <v>#NAME?</v>
      </c>
      <c r="AUM2">
        <f>'SW SF grad'!$X$8</f>
        <v>32.4</v>
      </c>
      <c r="AUN2" t="e">
        <f ca="1">RiskValStatic('SW SF grad'!X7)+_xll.RiskNormal('SW SF grad'!X7,4,_xll.RiskStatic('SW SF grad'!X7))</f>
        <v>#NAME?</v>
      </c>
      <c r="AUO2">
        <f>'SW SF grad'!$Y$8</f>
        <v>30.4</v>
      </c>
      <c r="AUP2" t="e">
        <f ca="1">RiskValStatic('SW SF grad'!Y7)+_xll.RiskNormal('SW SF grad'!Y7,4,_xll.RiskStatic('SW SF grad'!Y7))</f>
        <v>#NAME?</v>
      </c>
      <c r="AUQ2">
        <f>'SW SF grad'!$Z$8</f>
        <v>29.4</v>
      </c>
      <c r="AUR2" t="e">
        <f ca="1">RiskValStatic('SW SF grad'!Z7)+_xll.RiskNormal('SW SF grad'!Z7,4,_xll.RiskStatic('SW SF grad'!Z7))</f>
        <v>#NAME?</v>
      </c>
      <c r="AUS2">
        <f>'SW SF grad'!$AA$8</f>
        <v>30.4</v>
      </c>
      <c r="AUT2" t="e">
        <f ca="1">RiskValStatic('SW SF grad'!AA7)+_xll.RiskNormal('SW SF grad'!AA7,4,_xll.RiskStatic('SW SF grad'!AA7))</f>
        <v>#NAME?</v>
      </c>
      <c r="AUU2">
        <f>'SW SF grad'!$AB$8</f>
        <v>29.9</v>
      </c>
      <c r="AUV2" t="e">
        <f ca="1">RiskValStatic('SW SF grad'!AB7)+_xll.RiskNormal('SW SF grad'!AB7,4,_xll.RiskStatic('SW SF grad'!AB7))</f>
        <v>#NAME?</v>
      </c>
      <c r="AUW2">
        <f>'SW SF grad'!$AC$8</f>
        <v>28.4</v>
      </c>
      <c r="AUX2" t="e">
        <f ca="1">RiskValStatic('SW SF grad'!AC7)+_xll.RiskNormal('SW SF grad'!AC7,4,_xll.RiskStatic('SW SF grad'!AC7))</f>
        <v>#NAME?</v>
      </c>
      <c r="AUY2">
        <f>'SW SF grad'!$AD$8</f>
        <v>27.4</v>
      </c>
      <c r="AUZ2" t="e">
        <f ca="1">RiskValStatic('SW SF grad'!AD7)+_xll.RiskNormal('SW SF grad'!AD7,4,_xll.RiskStatic('SW SF grad'!AD7))</f>
        <v>#NAME?</v>
      </c>
      <c r="AVA2">
        <f>'SW SF grad'!$AE$8</f>
        <v>27.2</v>
      </c>
      <c r="AVB2" t="e">
        <f ca="1">RiskValStatic('SW SF grad'!AE7)+_xll.RiskNormal('SW SF grad'!AE7,4,_xll.RiskStatic('SW SF grad'!AE7))</f>
        <v>#NAME?</v>
      </c>
      <c r="AVC2">
        <f>'SW SF grad'!$AF$8</f>
        <v>27</v>
      </c>
      <c r="AVD2" t="e">
        <f ca="1">RiskValStatic('SW SF grad'!AF7)+_xll.RiskNormal('SW SF grad'!AF7,4,_xll.RiskStatic('SW SF grad'!AF7))</f>
        <v>#NAME?</v>
      </c>
      <c r="AVE2" s="2">
        <f>'SW SF grad'!$B$14</f>
        <v>151016</v>
      </c>
      <c r="AVF2" t="e">
        <f ca="1">_xll.RiskOutput()+'SW SF grad'!B10*'SW SF grad'!B12</f>
        <v>#VALUE!</v>
      </c>
      <c r="AVG2" s="2">
        <f>'SW SF grad'!$C$14</f>
        <v>151016</v>
      </c>
      <c r="AVH2" t="e">
        <f ca="1">_xll.RiskOutput()+'SW SF grad'!C10*'SW SF grad'!C12</f>
        <v>#VALUE!</v>
      </c>
      <c r="AVI2" s="2">
        <f>'SW SF grad'!$D$14</f>
        <v>148821</v>
      </c>
      <c r="AVJ2" t="e">
        <f ca="1">_xll.RiskOutput()+'SW SF grad'!D10*'SW SF grad'!D12</f>
        <v>#VALUE!</v>
      </c>
      <c r="AVK2" s="2">
        <f>'SW SF grad'!$E$14</f>
        <v>146626</v>
      </c>
      <c r="AVL2" t="e">
        <f ca="1">_xll.RiskOutput()+'SW SF grad'!E10*'SW SF grad'!E12</f>
        <v>#VALUE!</v>
      </c>
      <c r="AVM2" s="2">
        <f>'SW SF grad'!$F$14</f>
        <v>151016</v>
      </c>
      <c r="AVN2" t="e">
        <f ca="1">_xll.RiskOutput()+'SW SF grad'!F10*'SW SF grad'!F12</f>
        <v>#VALUE!</v>
      </c>
      <c r="AVO2" s="2">
        <f>'SW SF grad'!$G$14</f>
        <v>146626</v>
      </c>
      <c r="AVP2" t="e">
        <f ca="1">_xll.RiskOutput()+'SW SF grad'!G10*'SW SF grad'!G12</f>
        <v>#VALUE!</v>
      </c>
      <c r="AVQ2" s="2">
        <f>'SW SF grad'!$H$14</f>
        <v>151016</v>
      </c>
      <c r="AVR2" t="e">
        <f ca="1">_xll.RiskOutput()+'SW SF grad'!H10*'SW SF grad'!H12</f>
        <v>#VALUE!</v>
      </c>
      <c r="AVS2" s="2">
        <f>'SW SF grad'!$I$14</f>
        <v>146626</v>
      </c>
      <c r="AVT2" t="e">
        <f ca="1">_xll.RiskOutput()+'SW SF grad'!I10*'SW SF grad'!I12</f>
        <v>#VALUE!</v>
      </c>
      <c r="AVU2" s="2">
        <f>'SW SF grad'!$J$14</f>
        <v>151016</v>
      </c>
      <c r="AVV2" t="e">
        <f ca="1">_xll.RiskOutput()+'SW SF grad'!J10*'SW SF grad'!J12</f>
        <v>#VALUE!</v>
      </c>
      <c r="AVW2" s="2">
        <f>'SW SF grad'!$K$14</f>
        <v>146626</v>
      </c>
      <c r="AVX2" t="e">
        <f ca="1">_xll.RiskOutput()+'SW SF grad'!K10*'SW SF grad'!K12</f>
        <v>#VALUE!</v>
      </c>
      <c r="AVY2" s="2">
        <f>'SW SF grad'!$L$14</f>
        <v>142236</v>
      </c>
      <c r="AVZ2" t="e">
        <f ca="1">_xll.RiskOutput()+'SW SF grad'!L10*'SW SF grad'!L12</f>
        <v>#VALUE!</v>
      </c>
      <c r="AWA2" s="2">
        <f>'SW SF grad'!$M$14</f>
        <v>140041</v>
      </c>
      <c r="AWB2" t="e">
        <f ca="1">_xll.RiskOutput()+'SW SF grad'!M10*'SW SF grad'!M12</f>
        <v>#VALUE!</v>
      </c>
      <c r="AWC2" s="2">
        <f>'SW SF grad'!$N$14</f>
        <v>137846</v>
      </c>
      <c r="AWD2" t="e">
        <f ca="1">_xll.RiskOutput()+'SW SF grad'!N10*'SW SF grad'!N12</f>
        <v>#VALUE!</v>
      </c>
      <c r="AWE2" s="2">
        <f>'SW SF grad'!$O$14</f>
        <v>133456</v>
      </c>
      <c r="AWF2" t="e">
        <f ca="1">_xll.RiskOutput()+'SW SF grad'!O10*'SW SF grad'!O12</f>
        <v>#VALUE!</v>
      </c>
      <c r="AWG2" s="2">
        <f>'SW SF grad'!$P$14</f>
        <v>137846</v>
      </c>
      <c r="AWH2" t="e">
        <f ca="1">_xll.RiskOutput()+'SW SF grad'!P10*'SW SF grad'!P12</f>
        <v>#VALUE!</v>
      </c>
      <c r="AWI2" s="2">
        <f>'SW SF grad'!$Q$14</f>
        <v>137846</v>
      </c>
      <c r="AWJ2" t="e">
        <f ca="1">_xll.RiskOutput()+'SW SF grad'!Q10*'SW SF grad'!Q12</f>
        <v>#VALUE!</v>
      </c>
      <c r="AWK2" s="2">
        <f>'SW SF grad'!$R$14</f>
        <v>133456</v>
      </c>
      <c r="AWL2" t="e">
        <f ca="1">_xll.RiskOutput()+'SW SF grad'!R10*'SW SF grad'!R12</f>
        <v>#VALUE!</v>
      </c>
      <c r="AWM2" s="2">
        <f>'SW SF grad'!$S$14</f>
        <v>135651</v>
      </c>
      <c r="AWN2" t="e">
        <f ca="1">_xll.RiskOutput()+'SW SF grad'!S10*'SW SF grad'!S12</f>
        <v>#VALUE!</v>
      </c>
      <c r="AWO2" s="2">
        <f>'SW SF grad'!$T$14</f>
        <v>142236</v>
      </c>
      <c r="AWP2" t="e">
        <f ca="1">_xll.RiskOutput()+'SW SF grad'!T10*'SW SF grad'!T12</f>
        <v>#VALUE!</v>
      </c>
      <c r="AWQ2" s="2">
        <f>'SW SF grad'!$U$14</f>
        <v>146626</v>
      </c>
      <c r="AWR2" t="e">
        <f ca="1">_xll.RiskOutput()+'SW SF grad'!U10*'SW SF grad'!U12</f>
        <v>#VALUE!</v>
      </c>
      <c r="AWS2" s="2">
        <f>'SW SF grad'!$V$14</f>
        <v>137846</v>
      </c>
      <c r="AWT2" t="e">
        <f ca="1">_xll.RiskOutput()+'SW SF grad'!V10*'SW SF grad'!V12</f>
        <v>#VALUE!</v>
      </c>
      <c r="AWU2" s="2">
        <f>'SW SF grad'!$W$14</f>
        <v>133456</v>
      </c>
      <c r="AWV2" t="e">
        <f ca="1">_xll.RiskOutput()+'SW SF grad'!W10*'SW SF grad'!W12</f>
        <v>#VALUE!</v>
      </c>
      <c r="AWW2" s="2">
        <f>'SW SF grad'!$X$14</f>
        <v>142236</v>
      </c>
      <c r="AWX2" t="e">
        <f ca="1">_xll.RiskOutput()+'SW SF grad'!X10*'SW SF grad'!X12</f>
        <v>#VALUE!</v>
      </c>
      <c r="AWY2" s="2">
        <f>'SW SF grad'!$Y$14</f>
        <v>133456</v>
      </c>
      <c r="AWZ2" t="e">
        <f ca="1">_xll.RiskOutput()+'SW SF grad'!Y10*'SW SF grad'!Y12</f>
        <v>#VALUE!</v>
      </c>
      <c r="AXA2" s="2">
        <f>'SW SF grad'!$Z$14</f>
        <v>129065.99999999999</v>
      </c>
      <c r="AXB2" t="e">
        <f ca="1">_xll.RiskOutput()+'SW SF grad'!Z10*'SW SF grad'!Z12</f>
        <v>#VALUE!</v>
      </c>
      <c r="AXC2" s="2">
        <f>'SW SF grad'!$AA$14</f>
        <v>133456</v>
      </c>
      <c r="AXD2" t="e">
        <f ca="1">_xll.RiskOutput()+'SW SF grad'!AA10*'SW SF grad'!AA12</f>
        <v>#VALUE!</v>
      </c>
      <c r="AXE2" s="2">
        <f>'SW SF grad'!$AB$14</f>
        <v>131261</v>
      </c>
      <c r="AXF2" t="e">
        <f ca="1">_xll.RiskOutput()+'SW SF grad'!AB10*'SW SF grad'!AB12</f>
        <v>#VALUE!</v>
      </c>
      <c r="AXG2" s="2">
        <f>'SW SF grad'!$AC$14</f>
        <v>124675.99999999999</v>
      </c>
      <c r="AXH2" t="e">
        <f ca="1">_xll.RiskOutput()+'SW SF grad'!AC10*'SW SF grad'!AC12</f>
        <v>#VALUE!</v>
      </c>
      <c r="AXI2" s="2">
        <f>'SW SF grad'!$AD$14</f>
        <v>120285.99999999999</v>
      </c>
      <c r="AXJ2" t="e">
        <f ca="1">_xll.RiskOutput()+'SW SF grad'!AD10*'SW SF grad'!AD12</f>
        <v>#VALUE!</v>
      </c>
      <c r="AXK2" s="2">
        <f>'SW SF grad'!$AE$14</f>
        <v>119407.99999999999</v>
      </c>
      <c r="AXL2" t="e">
        <f ca="1">_xll.RiskOutput()+'SW SF grad'!AE10*'SW SF grad'!AE12</f>
        <v>#VALUE!</v>
      </c>
      <c r="AXM2" s="2">
        <f>'SW SF grad'!$AF$14</f>
        <v>118529.99999999999</v>
      </c>
      <c r="AXN2" t="e">
        <f ca="1">_xll.RiskOutput()+'SW SF grad'!AF10*'SW SF grad'!AF12</f>
        <v>#VALUE!</v>
      </c>
      <c r="AXO2" s="2">
        <f>'SW SF grad'!$B$15</f>
        <v>40516</v>
      </c>
      <c r="AXP2" s="2" t="e">
        <f ca="1">_xll.RiskOutput()+'SW SF grad'!B14-'SW SF grad'!B11</f>
        <v>#VALUE!</v>
      </c>
      <c r="AXQ2" s="2">
        <f>'SW SF grad'!$C$15</f>
        <v>40516</v>
      </c>
      <c r="AXR2" s="2" t="e">
        <f ca="1">_xll.RiskOutput()+'SW SF grad'!C14-'SW SF grad'!C11</f>
        <v>#VALUE!</v>
      </c>
      <c r="AXS2" s="2">
        <f>'SW SF grad'!$D$15</f>
        <v>38321</v>
      </c>
      <c r="AXT2" s="2" t="e">
        <f ca="1">_xll.RiskOutput()+'SW SF grad'!D14-'SW SF grad'!D11</f>
        <v>#VALUE!</v>
      </c>
      <c r="AXU2" s="2">
        <f>'SW SF grad'!$E$15</f>
        <v>36126</v>
      </c>
      <c r="AXV2" s="2" t="e">
        <f ca="1">_xll.RiskOutput()+'SW SF grad'!E14-'SW SF grad'!E11</f>
        <v>#VALUE!</v>
      </c>
      <c r="AXW2" s="2">
        <f>'SW SF grad'!$F$15</f>
        <v>40516</v>
      </c>
      <c r="AXX2" s="2" t="e">
        <f ca="1">_xll.RiskOutput()+'SW SF grad'!F14-'SW SF grad'!F11</f>
        <v>#VALUE!</v>
      </c>
      <c r="AXY2" s="2">
        <f>'SW SF grad'!$G$15</f>
        <v>36126</v>
      </c>
      <c r="AXZ2" s="2" t="e">
        <f ca="1">_xll.RiskOutput()+'SW SF grad'!G14-'SW SF grad'!G11</f>
        <v>#VALUE!</v>
      </c>
      <c r="AYA2" s="2">
        <f>'SW SF grad'!$H$15</f>
        <v>40516</v>
      </c>
      <c r="AYB2" s="2" t="e">
        <f ca="1">_xll.RiskOutput()+'SW SF grad'!H14-'SW SF grad'!H11</f>
        <v>#VALUE!</v>
      </c>
      <c r="AYC2" s="2">
        <f>'SW SF grad'!$I$15</f>
        <v>36126</v>
      </c>
      <c r="AYD2" s="2" t="e">
        <f ca="1">_xll.RiskOutput()+'SW SF grad'!I14-'SW SF grad'!I11</f>
        <v>#VALUE!</v>
      </c>
      <c r="AYE2" s="2">
        <f>'SW SF grad'!$J$15</f>
        <v>40516</v>
      </c>
      <c r="AYF2" s="2" t="e">
        <f ca="1">_xll.RiskOutput()+'SW SF grad'!J14-'SW SF grad'!J11</f>
        <v>#VALUE!</v>
      </c>
      <c r="AYG2" s="2">
        <f>'SW SF grad'!$K$15</f>
        <v>36126</v>
      </c>
      <c r="AYH2" s="2" t="e">
        <f ca="1">_xll.RiskOutput()+'SW SF grad'!K14-'SW SF grad'!K11</f>
        <v>#VALUE!</v>
      </c>
      <c r="AYI2" s="2">
        <f>'SW SF grad'!$L$15</f>
        <v>31736</v>
      </c>
      <c r="AYJ2" s="2" t="e">
        <f ca="1">_xll.RiskOutput()+'SW SF grad'!L14-'SW SF grad'!L11</f>
        <v>#VALUE!</v>
      </c>
      <c r="AYK2" s="2">
        <f>'SW SF grad'!$M$15</f>
        <v>29541</v>
      </c>
      <c r="AYL2" s="2" t="e">
        <f ca="1">_xll.RiskOutput()+'SW SF grad'!M14-'SW SF grad'!M11</f>
        <v>#VALUE!</v>
      </c>
      <c r="AYM2" s="2">
        <f>'SW SF grad'!$N$15</f>
        <v>27346</v>
      </c>
      <c r="AYN2" s="2" t="e">
        <f ca="1">_xll.RiskOutput()+'SW SF grad'!N14-'SW SF grad'!N11</f>
        <v>#VALUE!</v>
      </c>
      <c r="AYO2" s="2">
        <f>'SW SF grad'!$O$15</f>
        <v>22956</v>
      </c>
      <c r="AYP2" s="2" t="e">
        <f ca="1">_xll.RiskOutput()+'SW SF grad'!O14-'SW SF grad'!O11</f>
        <v>#VALUE!</v>
      </c>
      <c r="AYQ2" s="2">
        <f>'SW SF grad'!$P$15</f>
        <v>27346</v>
      </c>
      <c r="AYR2" s="2" t="e">
        <f ca="1">_xll.RiskOutput()+'SW SF grad'!P14-'SW SF grad'!P11</f>
        <v>#VALUE!</v>
      </c>
      <c r="AYS2" s="2">
        <f>'SW SF grad'!$Q$15</f>
        <v>27346</v>
      </c>
      <c r="AYT2" s="2" t="e">
        <f ca="1">_xll.RiskOutput()+'SW SF grad'!Q14-'SW SF grad'!Q11</f>
        <v>#VALUE!</v>
      </c>
      <c r="AYU2" s="2">
        <f>'SW SF grad'!$R$15</f>
        <v>22956</v>
      </c>
      <c r="AYV2" s="2" t="e">
        <f ca="1">_xll.RiskOutput()+'SW SF grad'!R14-'SW SF grad'!R11</f>
        <v>#VALUE!</v>
      </c>
      <c r="AYW2" s="2">
        <f>'SW SF grad'!$S$15</f>
        <v>25151</v>
      </c>
      <c r="AYX2" s="2" t="e">
        <f ca="1">_xll.RiskOutput()+'SW SF grad'!S14-'SW SF grad'!S11</f>
        <v>#VALUE!</v>
      </c>
      <c r="AYY2" s="2">
        <f>'SW SF grad'!$T$15</f>
        <v>31736</v>
      </c>
      <c r="AYZ2" s="2" t="e">
        <f ca="1">_xll.RiskOutput()+'SW SF grad'!T14-'SW SF grad'!T11</f>
        <v>#VALUE!</v>
      </c>
      <c r="AZA2" s="2">
        <f>'SW SF grad'!$U$15</f>
        <v>36126</v>
      </c>
      <c r="AZB2" s="2" t="e">
        <f ca="1">_xll.RiskOutput()+'SW SF grad'!U14-'SW SF grad'!U11</f>
        <v>#VALUE!</v>
      </c>
      <c r="AZC2" s="2">
        <f>'SW SF grad'!$V$15</f>
        <v>27346</v>
      </c>
      <c r="AZD2" s="2" t="e">
        <f ca="1">_xll.RiskOutput()+'SW SF grad'!V14-'SW SF grad'!V11</f>
        <v>#VALUE!</v>
      </c>
      <c r="AZE2" s="2">
        <f>'SW SF grad'!$W$15</f>
        <v>22956</v>
      </c>
      <c r="AZF2" s="2" t="e">
        <f ca="1">_xll.RiskOutput()+'SW SF grad'!W14-'SW SF grad'!W11</f>
        <v>#VALUE!</v>
      </c>
      <c r="AZG2" s="2">
        <f>'SW SF grad'!$X$15</f>
        <v>31736</v>
      </c>
      <c r="AZH2" s="2" t="e">
        <f ca="1">_xll.RiskOutput()+'SW SF grad'!X14-'SW SF grad'!X11</f>
        <v>#VALUE!</v>
      </c>
      <c r="AZI2" s="2">
        <f>'SW SF grad'!$Y$15</f>
        <v>22956</v>
      </c>
      <c r="AZJ2" s="2" t="e">
        <f ca="1">_xll.RiskOutput()+'SW SF grad'!Y14-'SW SF grad'!Y11</f>
        <v>#VALUE!</v>
      </c>
      <c r="AZK2" s="2">
        <f>'SW SF grad'!$Z$15</f>
        <v>18565.999999999985</v>
      </c>
      <c r="AZL2" s="2" t="e">
        <f ca="1">_xll.RiskOutput()+'SW SF grad'!Z14-'SW SF grad'!Z11</f>
        <v>#VALUE!</v>
      </c>
      <c r="AZM2" s="2">
        <f>'SW SF grad'!$AA$15</f>
        <v>22956</v>
      </c>
      <c r="AZN2" s="2" t="e">
        <f ca="1">_xll.RiskOutput()+'SW SF grad'!AA14-'SW SF grad'!AA11</f>
        <v>#VALUE!</v>
      </c>
      <c r="AZO2" s="2">
        <f>'SW SF grad'!$AB$15</f>
        <v>20761</v>
      </c>
      <c r="AZP2" s="2" t="e">
        <f ca="1">_xll.RiskOutput()+'SW SF grad'!AB14-'SW SF grad'!AB11</f>
        <v>#VALUE!</v>
      </c>
      <c r="AZQ2" s="2">
        <f>'SW SF grad'!$AC$15</f>
        <v>14175.999999999985</v>
      </c>
      <c r="AZR2" s="2" t="e">
        <f ca="1">_xll.RiskOutput()+'SW SF grad'!AC14-'SW SF grad'!AC11</f>
        <v>#VALUE!</v>
      </c>
      <c r="AZS2" s="2">
        <f>'SW SF grad'!$AD$15</f>
        <v>9785.9999999999854</v>
      </c>
      <c r="AZT2" s="2" t="e">
        <f ca="1">_xll.RiskOutput()+'SW SF grad'!AD14-'SW SF grad'!AD11</f>
        <v>#VALUE!</v>
      </c>
      <c r="AZU2" s="2">
        <f>'SW SF grad'!$AE$15</f>
        <v>8907.9999999999854</v>
      </c>
      <c r="AZV2" s="2" t="e">
        <f ca="1">_xll.RiskOutput()+'SW SF grad'!AE14-'SW SF grad'!AE11</f>
        <v>#VALUE!</v>
      </c>
      <c r="AZW2" s="2">
        <f>'SW SF grad'!$AF$15</f>
        <v>8029.9999999999854</v>
      </c>
      <c r="AZX2" s="2" t="e">
        <f ca="1">_xll.RiskOutput()+'SW SF grad'!AF14-'SW SF grad'!AF11</f>
        <v>#VALUE!</v>
      </c>
      <c r="AZY2" s="1">
        <f>'SW SF grad'!$B$19</f>
        <v>608234.78805349965</v>
      </c>
      <c r="AZZ2" s="2" t="e">
        <f ca="1">_xll.RiskOutput("NPV")+NPV(3%,'SW SF grad'!B15:AF15)</f>
        <v>#VALUE!</v>
      </c>
      <c r="BAA2" s="1">
        <f>'SW SF grad'!$C$19</f>
        <v>585965.83169510472</v>
      </c>
      <c r="BAB2" s="2" t="e">
        <f ca="1">_xll.RiskOutput("NPV")+NPV(3%,'SW SF grad'!C15:AF15)</f>
        <v>#VALUE!</v>
      </c>
      <c r="BAC2" s="1">
        <f>'SW SF grad'!$D$19</f>
        <v>563028.80664595764</v>
      </c>
      <c r="BAD2" s="2" t="e">
        <f ca="1">_xll.RiskOutput("NPV")+NPV(3%,'SW SF grad'!D15:AF15)</f>
        <v>#VALUE!</v>
      </c>
      <c r="BAE2" s="1">
        <f>'SW SF grad'!$E$19</f>
        <v>541598.6708453364</v>
      </c>
      <c r="BAF2" s="2" t="e">
        <f ca="1">_xll.RiskOutput("NPV")+NPV(3%,'SW SF grad'!E15:AF15)</f>
        <v>#VALUE!</v>
      </c>
      <c r="BAG2" s="1">
        <f>'SW SF grad'!$F$19</f>
        <v>521720.63097069674</v>
      </c>
      <c r="BAH2" s="2" t="e">
        <f ca="1">_xll.RiskOutput("NPV")+NPV(3%,'SW SF grad'!F15:AF15)</f>
        <v>#VALUE!</v>
      </c>
      <c r="BAI2" s="1">
        <f>'SW SF grad'!$G$19</f>
        <v>496856.24989981763</v>
      </c>
      <c r="BAJ2" s="2" t="e">
        <f ca="1">_xll.RiskOutput("NPV")+NPV(3%,'SW SF grad'!G15:AF15)</f>
        <v>#VALUE!</v>
      </c>
      <c r="BAK2" s="1">
        <f>'SW SF grad'!$H$19</f>
        <v>475635.93739681208</v>
      </c>
      <c r="BAL2" s="2" t="e">
        <f ca="1">_xll.RiskOutput("NPV")+NPV(3%,'SW SF grad'!H15:AF15)</f>
        <v>#VALUE!</v>
      </c>
      <c r="BAM2" s="1">
        <f>'SW SF grad'!$I$19</f>
        <v>449389.01551871648</v>
      </c>
      <c r="BAN2" s="2" t="e">
        <f ca="1">_xll.RiskOutput("NPV")+NPV(3%,'SW SF grad'!I15:AF15)</f>
        <v>#VALUE!</v>
      </c>
      <c r="BAO2" s="1">
        <f>'SW SF grad'!$J$19</f>
        <v>426744.68598427798</v>
      </c>
      <c r="BAP2" s="2" t="e">
        <f ca="1">_xll.RiskOutput("NPV")+NPV(3%,'SW SF grad'!J15:AF15)</f>
        <v>#VALUE!</v>
      </c>
      <c r="BAQ2" s="1">
        <f>'SW SF grad'!$K$19</f>
        <v>399031.0265638064</v>
      </c>
      <c r="BAR2" s="2" t="e">
        <f ca="1">_xll.RiskOutput("NPV")+NPV(3%,'SW SF grad'!K15:AF15)</f>
        <v>#VALUE!</v>
      </c>
      <c r="BAS2" s="1">
        <f>'SW SF grad'!$L$19</f>
        <v>374875.95736072049</v>
      </c>
      <c r="BAT2" s="2" t="e">
        <f ca="1">_xll.RiskOutput("NPV")+NPV(3%,'SW SF grad'!L15:AO15)</f>
        <v>#VALUE!</v>
      </c>
      <c r="BAU2" s="1">
        <f>'SW SF grad'!$M$19</f>
        <v>354386.2360815421</v>
      </c>
      <c r="BAV2" s="2" t="e">
        <f ca="1">_xll.RiskOutput("NPV")+NPV(3%,'SW SF grad'!M15:AP15)</f>
        <v>#VALUE!</v>
      </c>
      <c r="BAW2" s="1">
        <f>'SW SF grad'!$N$19</f>
        <v>335476.82316398836</v>
      </c>
      <c r="BAX2" s="2" t="e">
        <f ca="1">_xll.RiskOutput("NPV")+NPV(3%,'SW SF grad'!N15:AQ15)</f>
        <v>#VALUE!</v>
      </c>
      <c r="BAY2" s="1">
        <f>'SW SF grad'!$O$19</f>
        <v>318195.12785890809</v>
      </c>
      <c r="BAZ2" s="2" t="e">
        <f ca="1">_xll.RiskOutput("NPV")+NPV(3%,'SW SF grad'!O15:AR15)</f>
        <v>#VALUE!</v>
      </c>
      <c r="BBA2" s="1">
        <f>'SW SF grad'!$P$19</f>
        <v>304784.98169467528</v>
      </c>
      <c r="BBB2" s="2" t="e">
        <f ca="1">_xll.RiskOutput("NPV")+NPV(3%,'SW SF grad'!P15:AS15)</f>
        <v>#VALUE!</v>
      </c>
      <c r="BBC2" s="1">
        <f>'SW SF grad'!$Q$19</f>
        <v>286582.53114551556</v>
      </c>
      <c r="BBD2" s="2" t="e">
        <f ca="1">_xll.RiskOutput("NPV")+NPV(3%,'SW SF grad'!Q15:AT15)</f>
        <v>#VALUE!</v>
      </c>
      <c r="BBE2" s="1">
        <f>'SW SF grad'!$R$19</f>
        <v>267834.00707988103</v>
      </c>
      <c r="BBF2" s="2" t="e">
        <f ca="1">_xll.RiskOutput("NPV")+NPV(3%,'SW SF grad'!R15:AU15)</f>
        <v>#VALUE!</v>
      </c>
      <c r="BBG2" s="1">
        <f>'SW SF grad'!$S$19</f>
        <v>252913.02729227749</v>
      </c>
      <c r="BBH2" s="2" t="e">
        <f ca="1">_xll.RiskOutput("NPV")+NPV(3%,'SW SF grad'!S15:AV15)</f>
        <v>#VALUE!</v>
      </c>
      <c r="BBI2" s="1">
        <f>'SW SF grad'!$T$19</f>
        <v>235349.41811104582</v>
      </c>
      <c r="BBJ2" s="2" t="e">
        <f ca="1">_xll.RiskOutput("NPV")+NPV(3%,'SW SF grad'!T15:AW15)</f>
        <v>#VALUE!</v>
      </c>
      <c r="BBK2" s="1">
        <f>'SW SF grad'!$U$19</f>
        <v>210673.90065437721</v>
      </c>
      <c r="BBL2" s="2" t="e">
        <f ca="1">_xll.RiskOutput("NPV")+NPV(3%,'SW SF grad'!U15:AX15)</f>
        <v>#VALUE!</v>
      </c>
      <c r="BBM2" s="1">
        <f>'SW SF grad'!$V$19</f>
        <v>180868.11767400854</v>
      </c>
      <c r="BBN2" s="2" t="e">
        <f ca="1">_xll.RiskOutput("NPV")+NPV(3%,'SW SF grad'!V15:AY15)</f>
        <v>#VALUE!</v>
      </c>
      <c r="BBO2" s="1">
        <f>'SW SF grad'!$W$19</f>
        <v>158948.16120422876</v>
      </c>
      <c r="BBP2" s="2" t="e">
        <f ca="1">_xll.RiskOutput("NPV")+NPV(3%,'SW SF grad'!W15:AZ15)</f>
        <v>#VALUE!</v>
      </c>
      <c r="BBQ2" s="1">
        <f>'SW SF grad'!$X$19</f>
        <v>140760.60604035566</v>
      </c>
      <c r="BBR2" s="2" t="e">
        <f ca="1">_xll.RiskOutput("NPV")+NPV(3%,'SW SF grad'!X15:BA15)</f>
        <v>#VALUE!</v>
      </c>
      <c r="BBS2" s="1">
        <f>'SW SF grad'!$Y$19</f>
        <v>113247.4242215663</v>
      </c>
      <c r="BBT2" s="2" t="e">
        <f ca="1">_xll.RiskOutput("NPV")+NPV(3%,'SW SF grad'!Y15:BB15)</f>
        <v>#VALUE!</v>
      </c>
      <c r="BBU2" s="1">
        <f>'SW SF grad'!$Z$19</f>
        <v>93688.846948213308</v>
      </c>
      <c r="BBV2" s="2" t="e">
        <f ca="1">_xll.RiskOutput("NPV")+NPV(3%,'SW SF grad'!Z15:BC15)</f>
        <v>#VALUE!</v>
      </c>
      <c r="BBW2" s="1">
        <f>'SW SF grad'!$AA$19</f>
        <v>77933.512356659703</v>
      </c>
      <c r="BBX2" s="2" t="e">
        <f ca="1">_xll.RiskOutput("NPV")+NPV(3%,'SW SF grad'!AA15:BD15)</f>
        <v>#VALUE!</v>
      </c>
      <c r="BBY2" s="1">
        <f>'SW SF grad'!$AB$19</f>
        <v>57315.517727359504</v>
      </c>
      <c r="BBZ2" s="2" t="e">
        <f ca="1">_xll.RiskOutput("NPV")+NPV(3%,'SW SF grad'!AB15:BE15)</f>
        <v>#VALUE!</v>
      </c>
      <c r="BCA2" s="1">
        <f>'SW SF grad'!$AC$19</f>
        <v>38273.983259180291</v>
      </c>
      <c r="BCB2" s="2" t="e">
        <f ca="1">_xll.RiskOutput("NPV")+NPV(3%,'SW SF grad'!AC15:BF15)</f>
        <v>#VALUE!</v>
      </c>
      <c r="BCC2" s="1">
        <f>'SW SF grad'!$AD$19</f>
        <v>25246.202756955721</v>
      </c>
      <c r="BCD2" s="2" t="e">
        <f ca="1">_xll.RiskOutput("NPV")+NPV(3%,'SW SF grad'!AD15:BG15)</f>
        <v>#VALUE!</v>
      </c>
      <c r="BCE2" s="1">
        <f>'SW SF grad'!$AE$19</f>
        <v>16217.588839664408</v>
      </c>
      <c r="BCF2" s="2" t="e">
        <f ca="1">_xll.RiskOutput("NPV")+NPV(3%,'SW SF grad'!AE15:BH15)</f>
        <v>#VALUE!</v>
      </c>
      <c r="BCG2" s="1">
        <f>'SW SF grad'!$AF$19</f>
        <v>7796.1165048543544</v>
      </c>
      <c r="BCH2" s="2" t="e">
        <f ca="1">_xll.RiskOutput("NPV")+NPV(3%,'SW SF grad'!AF15:BI15)</f>
        <v>#VALUE!</v>
      </c>
      <c r="BCI2">
        <f>'WW CC grad nr'!$B$9</f>
        <v>28.106454679999999</v>
      </c>
      <c r="BCJ2" t="e">
        <f ca="1">RiskValStatic(28.10645468)+_xll.RiskExtvalueMin('WW CC grad nr'!B8,6.3989,_xll.RiskName("WW CC neg"))</f>
        <v>#NAME?</v>
      </c>
      <c r="BCK2">
        <f>'WW CC grad nr'!$C$9</f>
        <v>28.106454679999999</v>
      </c>
      <c r="BCL2" t="e">
        <f ca="1">RiskValStatic(28.10645468)+_xll.RiskExtvalueMin('WW CC grad nr'!C8,6.3989,_xll.RiskName("WW CC neg"))</f>
        <v>#NAME?</v>
      </c>
      <c r="BCM2">
        <f>'WW CC grad nr'!$D$9</f>
        <v>27.606454679999999</v>
      </c>
      <c r="BCN2" t="e">
        <f ca="1">RiskValStatic(27.60645468)+_xll.RiskExtvalueMin('WW CC grad nr'!D8,6.3989,_xll.RiskName("WW CC neg"))</f>
        <v>#NAME?</v>
      </c>
      <c r="BCO2">
        <f>'WW CC grad nr'!$E$9</f>
        <v>27.106454679999999</v>
      </c>
      <c r="BCP2" t="e">
        <f ca="1">RiskValStatic(27.10645468)+_xll.RiskExtvalueMin('WW CC grad nr'!E8,6.3989,_xll.RiskName("WW CC neg"))</f>
        <v>#NAME?</v>
      </c>
      <c r="BCQ2">
        <f>'WW CC grad nr'!$F$9</f>
        <v>28.106454679999999</v>
      </c>
      <c r="BCR2" t="e">
        <f ca="1">RiskValStatic(28.10645468)+_xll.RiskExtvalueMin('WW CC grad nr'!F8,6.3989,_xll.RiskName("WW CC neg"))</f>
        <v>#NAME?</v>
      </c>
      <c r="BCS2">
        <f>'WW CC grad nr'!$G$9</f>
        <v>27.106454679999999</v>
      </c>
      <c r="BCT2" t="e">
        <f ca="1">RiskValStatic(27.10645468)+_xll.RiskExtvalueMin('WW CC grad nr'!G8,6.3989,_xll.RiskName("WW CC neg"))</f>
        <v>#NAME?</v>
      </c>
      <c r="BCU2">
        <f>'WW CC grad nr'!$H$9</f>
        <v>28.106454679999999</v>
      </c>
      <c r="BCV2" t="e">
        <f ca="1">RiskValStatic(28.10645468)+_xll.RiskExtvalueMin('WW CC grad nr'!H8,6.3989,_xll.RiskName("WW CC neg"))</f>
        <v>#NAME?</v>
      </c>
      <c r="BCW2">
        <f>'WW CC grad nr'!$I$9</f>
        <v>27.106454679999999</v>
      </c>
      <c r="BCX2" t="e">
        <f ca="1">RiskValStatic(27.10645468)+_xll.RiskExtvalueMin('WW CC grad nr'!I8,6.3989,_xll.RiskName("WW CC neg"))</f>
        <v>#NAME?</v>
      </c>
      <c r="BCY2">
        <f>'WW CC grad nr'!$J$9</f>
        <v>28.106454679999999</v>
      </c>
      <c r="BCZ2" t="e">
        <f ca="1">RiskValStatic(28.10645468)+_xll.RiskExtvalueMin('WW CC grad nr'!J8,6.3989,_xll.RiskName("WW CC neg"))</f>
        <v>#NAME?</v>
      </c>
      <c r="BDA2">
        <f>'WW CC grad nr'!$K$9</f>
        <v>27.106454679999999</v>
      </c>
      <c r="BDB2" t="e">
        <f ca="1">RiskValStatic(27.10645468)+_xll.RiskExtvalueMin('WW CC grad nr'!K8,6.3989,_xll.RiskName("WW CC neg"))</f>
        <v>#NAME?</v>
      </c>
      <c r="BDC2">
        <f>'WW CC grad nr'!$L$9</f>
        <v>26.106454679999999</v>
      </c>
      <c r="BDD2" t="e">
        <f ca="1">RiskValStatic(26.10645468)+_xll.RiskExtvalueMin('WW CC grad nr'!L8,6.3989,_xll.RiskName("WW CC neg"))</f>
        <v>#NAME?</v>
      </c>
      <c r="BDE2">
        <f>'WW CC grad nr'!$M$9</f>
        <v>25.606454679999999</v>
      </c>
      <c r="BDF2" t="e">
        <f ca="1">RiskValStatic(25.60645468)+_xll.RiskExtvalueMin('WW CC grad nr'!M8,6.3989,_xll.RiskName("WW CC neg"))</f>
        <v>#NAME?</v>
      </c>
      <c r="BDG2">
        <f>'WW CC grad nr'!$N$9</f>
        <v>25.106454679999999</v>
      </c>
      <c r="BDH2" t="e">
        <f ca="1">RiskValStatic(25.10645468)+_xll.RiskExtvalueMin('WW CC grad nr'!N8,6.3989,_xll.RiskName("WW CC neg"))</f>
        <v>#NAME?</v>
      </c>
      <c r="BDI2">
        <f>'WW CC grad nr'!$O$9</f>
        <v>24.106454679999999</v>
      </c>
      <c r="BDJ2" t="e">
        <f ca="1">RiskValStatic(24.10645468)+_xll.RiskExtvalueMin('WW CC grad nr'!O8,6.3989,_xll.RiskName("WW CC neg"))</f>
        <v>#NAME?</v>
      </c>
      <c r="BDK2">
        <f>'WW CC grad nr'!$P$9</f>
        <v>25.106454679999999</v>
      </c>
      <c r="BDL2" t="e">
        <f ca="1">RiskValStatic(25.10645468)+_xll.RiskExtvalueMin('WW CC grad nr'!P8,6.3989,_xll.RiskName("WW CC neg"))</f>
        <v>#NAME?</v>
      </c>
      <c r="BDM2">
        <f>'WW CC grad nr'!$Q$9</f>
        <v>25.106454679999999</v>
      </c>
      <c r="BDN2" t="e">
        <f ca="1">RiskValStatic(25.10645468)+_xll.RiskExtvalueMin('WW CC grad nr'!Q8,6.3989,_xll.RiskName("WW CC neg"))</f>
        <v>#NAME?</v>
      </c>
      <c r="BDO2">
        <f>'WW CC grad nr'!$R$9</f>
        <v>24.106454679999999</v>
      </c>
      <c r="BDP2" t="e">
        <f ca="1">RiskValStatic(24.10645468)+_xll.RiskExtvalueMin('WW CC grad nr'!R8,6.3989,_xll.RiskName("WW CC neg"))</f>
        <v>#NAME?</v>
      </c>
      <c r="BDQ2">
        <f>'WW CC grad nr'!$S$9</f>
        <v>24.606454679999999</v>
      </c>
      <c r="BDR2" t="e">
        <f ca="1">RiskValStatic(24.60645468)+_xll.RiskExtvalueMin('WW CC grad nr'!S8,6.3989,_xll.RiskName("WW CC neg"))</f>
        <v>#NAME?</v>
      </c>
      <c r="BDS2">
        <f>'WW CC grad nr'!$T$9</f>
        <v>26.106454679999999</v>
      </c>
      <c r="BDT2" t="e">
        <f ca="1">RiskValStatic(26.10645468)+_xll.RiskExtvalueMin('WW CC grad nr'!T8,6.3989,_xll.RiskName("WW CC neg"))</f>
        <v>#NAME?</v>
      </c>
      <c r="BDU2">
        <f>'WW CC grad nr'!$U$9</f>
        <v>27.106454679999999</v>
      </c>
      <c r="BDV2" t="e">
        <f ca="1">RiskValStatic(27.10645468)+_xll.RiskExtvalueMin('WW CC grad nr'!U8,6.3989,_xll.RiskName("WW CC neg"))</f>
        <v>#NAME?</v>
      </c>
      <c r="BDW2">
        <f>'WW CC grad nr'!$V$9</f>
        <v>25.106454679999999</v>
      </c>
      <c r="BDX2" t="e">
        <f ca="1">RiskValStatic(25.10645468)+_xll.RiskExtvalueMin('WW CC grad nr'!V8,6.3989,_xll.RiskName("WW CC neg"))</f>
        <v>#NAME?</v>
      </c>
      <c r="BDY2">
        <f>'WW CC grad nr'!$W$9</f>
        <v>24.106454679999999</v>
      </c>
      <c r="BDZ2" t="e">
        <f ca="1">RiskValStatic(24.10645468)+_xll.RiskExtvalueMin('WW CC grad nr'!W8,6.3989,_xll.RiskName("WW CC neg"))</f>
        <v>#NAME?</v>
      </c>
      <c r="BEA2">
        <f>'WW CC grad nr'!$X$9</f>
        <v>26.106454679999999</v>
      </c>
      <c r="BEB2" t="e">
        <f ca="1">RiskValStatic(26.10645468)+_xll.RiskExtvalueMin('WW CC grad nr'!X8,6.3989,_xll.RiskName("WW CC neg"))</f>
        <v>#NAME?</v>
      </c>
      <c r="BEC2">
        <f>'WW CC grad nr'!$Y$9</f>
        <v>24.106454679999999</v>
      </c>
      <c r="BED2" t="e">
        <f ca="1">RiskValStatic(24.10645468)+_xll.RiskExtvalueMin('WW CC grad nr'!Y8,6.3989,_xll.RiskName("WW CC neg"))</f>
        <v>#NAME?</v>
      </c>
      <c r="BEE2">
        <f>'WW CC grad nr'!$Z$9</f>
        <v>23.106454679999999</v>
      </c>
      <c r="BEF2" t="e">
        <f ca="1">RiskValStatic(23.10645468)+_xll.RiskExtvalueMin('WW CC grad nr'!Z8,6.3989,_xll.RiskName("WW CC neg"))</f>
        <v>#NAME?</v>
      </c>
      <c r="BEG2">
        <f>'WW CC grad nr'!$AA$9</f>
        <v>24.106454679999999</v>
      </c>
      <c r="BEH2" t="e">
        <f ca="1">RiskValStatic(24.10645468)+_xll.RiskExtvalueMin('WW CC grad nr'!AA8,6.3989,_xll.RiskName("WW CC neg"))</f>
        <v>#NAME?</v>
      </c>
      <c r="BEI2">
        <f>'WW CC grad nr'!$AB$9</f>
        <v>23.606454679999999</v>
      </c>
      <c r="BEJ2" t="e">
        <f ca="1">RiskValStatic(23.60645468)+_xll.RiskExtvalueMin('WW CC grad nr'!AB8,6.3989,_xll.RiskName("WW CC neg"))</f>
        <v>#NAME?</v>
      </c>
      <c r="BEK2">
        <f>'WW CC grad nr'!$AC$9</f>
        <v>22.106454679999999</v>
      </c>
      <c r="BEL2" t="e">
        <f ca="1">RiskValStatic(22.10645468)+_xll.RiskExtvalueMin('WW CC grad nr'!AC8,6.3989,_xll.RiskName("WW CC neg"))</f>
        <v>#NAME?</v>
      </c>
      <c r="BEM2">
        <f>'WW CC grad nr'!$AD$9</f>
        <v>21.106454679999999</v>
      </c>
      <c r="BEN2" t="e">
        <f ca="1">RiskValStatic(21.10645468)+_xll.RiskExtvalueMin('WW CC grad nr'!AD8,6.3989,_xll.RiskName("WW CC neg"))</f>
        <v>#NAME?</v>
      </c>
      <c r="BEO2">
        <f>'WW CC grad nr'!$AE$9</f>
        <v>20.90645468</v>
      </c>
      <c r="BEP2" t="e">
        <f ca="1">RiskValStatic(20.90645468)+_xll.RiskExtvalueMin('WW CC grad nr'!AE8,6.3989,_xll.RiskName("WW CC neg"))</f>
        <v>#NAME?</v>
      </c>
      <c r="BEQ2">
        <f>'WW CC grad nr'!$AF$9</f>
        <v>20.70645468</v>
      </c>
      <c r="BER2" t="e">
        <f ca="1">RiskValStatic(20.70645468)+_xll.RiskExtvalueMin('WW CC grad nr'!AF8,6.3989,_xll.RiskName("WW CC neg"))</f>
        <v>#NAME?</v>
      </c>
      <c r="BES2" s="8">
        <f>'WW CC grad nr'!$B$12</f>
        <v>56212.909359999998</v>
      </c>
      <c r="BET2" t="e">
        <f ca="1">_xll.RiskOutput()+'WW CC grad nr'!B9*'WW CC grad nr'!B11</f>
        <v>#VALUE!</v>
      </c>
      <c r="BEU2" s="8">
        <f>'WW CC grad nr'!$C$12</f>
        <v>56212.909359999998</v>
      </c>
      <c r="BEV2" t="e">
        <f ca="1">_xll.RiskOutput()+'WW CC grad nr'!C9*'WW CC grad nr'!C11</f>
        <v>#VALUE!</v>
      </c>
      <c r="BEW2" s="8">
        <f>'WW CC grad nr'!$D$12</f>
        <v>55212.909359999998</v>
      </c>
      <c r="BEX2" t="e">
        <f ca="1">_xll.RiskOutput()+'WW CC grad nr'!D9*'WW CC grad nr'!D11</f>
        <v>#VALUE!</v>
      </c>
      <c r="BEY2" s="8">
        <f>'WW CC grad nr'!$E$12</f>
        <v>54212.909359999998</v>
      </c>
      <c r="BEZ2" t="e">
        <f ca="1">_xll.RiskOutput()+'WW CC grad nr'!E9*'WW CC grad nr'!E11</f>
        <v>#VALUE!</v>
      </c>
      <c r="BFA2" s="8">
        <f>'WW CC grad nr'!$F$12</f>
        <v>56212.909359999998</v>
      </c>
      <c r="BFB2" t="e">
        <f ca="1">_xll.RiskOutput()+'WW CC grad nr'!F9*'WW CC grad nr'!F11</f>
        <v>#VALUE!</v>
      </c>
      <c r="BFC2" s="8">
        <f>'WW CC grad nr'!$G$12</f>
        <v>54212.909359999998</v>
      </c>
      <c r="BFD2" t="e">
        <f ca="1">_xll.RiskOutput()+'WW CC grad nr'!G9*'WW CC grad nr'!G11</f>
        <v>#VALUE!</v>
      </c>
      <c r="BFE2" s="8">
        <f>'WW CC grad nr'!$H$12</f>
        <v>56212.909359999998</v>
      </c>
      <c r="BFF2" t="e">
        <f ca="1">_xll.RiskOutput()+'WW CC grad nr'!H9*'WW CC grad nr'!H11</f>
        <v>#VALUE!</v>
      </c>
      <c r="BFG2" s="8">
        <f>'WW CC grad nr'!$I$12</f>
        <v>54212.909359999998</v>
      </c>
      <c r="BFH2" t="e">
        <f ca="1">_xll.RiskOutput()+'WW CC grad nr'!I9*'WW CC grad nr'!I11</f>
        <v>#VALUE!</v>
      </c>
      <c r="BFI2" s="8">
        <f>'WW CC grad nr'!$J$12</f>
        <v>56212.909359999998</v>
      </c>
      <c r="BFJ2" t="e">
        <f ca="1">_xll.RiskOutput()+'WW CC grad nr'!J9*'WW CC grad nr'!J11</f>
        <v>#VALUE!</v>
      </c>
      <c r="BFK2" s="8">
        <f>'WW CC grad nr'!$K$12</f>
        <v>54212.909359999998</v>
      </c>
      <c r="BFL2" t="e">
        <f ca="1">_xll.RiskOutput()+'WW CC grad nr'!K9*'WW CC grad nr'!K11</f>
        <v>#VALUE!</v>
      </c>
      <c r="BFM2" s="8">
        <f>'WW CC grad nr'!$L$12</f>
        <v>52212.909359999998</v>
      </c>
      <c r="BFN2" t="e">
        <f ca="1">_xll.RiskOutput()+'WW CC grad nr'!L9*'WW CC grad nr'!L11</f>
        <v>#VALUE!</v>
      </c>
      <c r="BFO2" s="8">
        <f>'WW CC grad nr'!$M$12</f>
        <v>51212.909359999998</v>
      </c>
      <c r="BFP2" t="e">
        <f ca="1">_xll.RiskOutput()+'WW CC grad nr'!M9*'WW CC grad nr'!M11</f>
        <v>#VALUE!</v>
      </c>
      <c r="BFQ2" s="8">
        <f>'WW CC grad nr'!$N$12</f>
        <v>50212.909359999998</v>
      </c>
      <c r="BFR2" t="e">
        <f ca="1">_xll.RiskOutput()+'WW CC grad nr'!N9*'WW CC grad nr'!N11</f>
        <v>#VALUE!</v>
      </c>
      <c r="BFS2" s="8">
        <f>'WW CC grad nr'!$O$12</f>
        <v>48212.909359999998</v>
      </c>
      <c r="BFT2" t="e">
        <f ca="1">_xll.RiskOutput()+'WW CC grad nr'!O9*'WW CC grad nr'!O11</f>
        <v>#VALUE!</v>
      </c>
      <c r="BFU2" s="8">
        <f>'WW CC grad nr'!$P$12</f>
        <v>50212.909359999998</v>
      </c>
      <c r="BFV2" t="e">
        <f ca="1">_xll.RiskOutput()+'WW CC grad nr'!P9*'WW CC grad nr'!P11</f>
        <v>#VALUE!</v>
      </c>
      <c r="BFW2">
        <f>'WW CC grad nr'!$Q$12</f>
        <v>50212.909359999998</v>
      </c>
      <c r="BFX2" t="e">
        <f ca="1">_xll.RiskOutput()+'WW CC grad nr'!Q9*'WW CC grad nr'!Q11</f>
        <v>#VALUE!</v>
      </c>
      <c r="BFY2">
        <f>'WW CC grad nr'!$R$12</f>
        <v>48212.909359999998</v>
      </c>
      <c r="BFZ2" t="e">
        <f ca="1">_xll.RiskOutput()+'WW CC grad nr'!R9*'WW CC grad nr'!R11</f>
        <v>#VALUE!</v>
      </c>
      <c r="BGA2">
        <f>'WW CC grad nr'!$S$12</f>
        <v>49212.909359999998</v>
      </c>
      <c r="BGB2" t="e">
        <f ca="1">_xll.RiskOutput()+'WW CC grad nr'!S9*'WW CC grad nr'!S11</f>
        <v>#VALUE!</v>
      </c>
      <c r="BGC2">
        <f>'WW CC grad nr'!$T$12</f>
        <v>52212.909359999998</v>
      </c>
      <c r="BGD2" t="e">
        <f ca="1">_xll.RiskOutput()+'WW CC grad nr'!T9*'WW CC grad nr'!T11</f>
        <v>#VALUE!</v>
      </c>
      <c r="BGE2">
        <f>'WW CC grad nr'!$U$12</f>
        <v>54212.909359999998</v>
      </c>
      <c r="BGF2" t="e">
        <f ca="1">_xll.RiskOutput()+'WW CC grad nr'!U9*'WW CC grad nr'!U11</f>
        <v>#VALUE!</v>
      </c>
      <c r="BGG2">
        <f>'WW CC grad nr'!$V$12</f>
        <v>50212.909359999998</v>
      </c>
      <c r="BGH2" t="e">
        <f ca="1">_xll.RiskOutput()+'WW CC grad nr'!V9*'WW CC grad nr'!V11</f>
        <v>#VALUE!</v>
      </c>
      <c r="BGI2">
        <f>'WW CC grad nr'!$W$12</f>
        <v>48212.909359999998</v>
      </c>
      <c r="BGJ2" t="e">
        <f ca="1">_xll.RiskOutput()+'WW CC grad nr'!W9*'WW CC grad nr'!W11</f>
        <v>#VALUE!</v>
      </c>
      <c r="BGK2">
        <f>'WW CC grad nr'!$X$12</f>
        <v>52212.909359999998</v>
      </c>
      <c r="BGL2" t="e">
        <f ca="1">_xll.RiskOutput()+'WW CC grad nr'!X9*'WW CC grad nr'!X11</f>
        <v>#VALUE!</v>
      </c>
      <c r="BGM2">
        <f>'WW CC grad nr'!$Y$12</f>
        <v>48212.909359999998</v>
      </c>
      <c r="BGN2" t="e">
        <f ca="1">_xll.RiskOutput()+'WW CC grad nr'!Y9*'WW CC grad nr'!Y11</f>
        <v>#VALUE!</v>
      </c>
      <c r="BGO2">
        <f>'WW CC grad nr'!$Z$12</f>
        <v>46212.909359999998</v>
      </c>
      <c r="BGP2" t="e">
        <f ca="1">_xll.RiskOutput()+'WW CC grad nr'!Z9*'WW CC grad nr'!Z11</f>
        <v>#VALUE!</v>
      </c>
      <c r="BGQ2">
        <f>'WW CC grad nr'!$AA$12</f>
        <v>48212.909359999998</v>
      </c>
      <c r="BGR2" t="e">
        <f ca="1">_xll.RiskOutput()+'WW CC grad nr'!AA9*'WW CC grad nr'!AA11</f>
        <v>#VALUE!</v>
      </c>
      <c r="BGS2">
        <f>'WW CC grad nr'!$AB$12</f>
        <v>47212.909359999998</v>
      </c>
      <c r="BGT2" t="e">
        <f ca="1">_xll.RiskOutput()+'WW CC grad nr'!AB9*'WW CC grad nr'!AB11</f>
        <v>#VALUE!</v>
      </c>
      <c r="BGU2">
        <f>'WW CC grad nr'!$AC$12</f>
        <v>44212.909359999998</v>
      </c>
      <c r="BGV2" t="e">
        <f ca="1">_xll.RiskOutput()+'WW CC grad nr'!AC9*'WW CC grad nr'!AC11</f>
        <v>#VALUE!</v>
      </c>
      <c r="BGW2">
        <f>'WW CC grad nr'!$AD$12</f>
        <v>42212.909359999998</v>
      </c>
      <c r="BGX2" t="e">
        <f ca="1">_xll.RiskOutput()+'WW CC grad nr'!AD9*'WW CC grad nr'!AD11</f>
        <v>#VALUE!</v>
      </c>
      <c r="BGY2">
        <f>'WW CC grad nr'!$AE$12</f>
        <v>41812.909359999998</v>
      </c>
      <c r="BGZ2" t="e">
        <f ca="1">_xll.RiskOutput()+'WW CC grad nr'!AE9*'WW CC grad nr'!AE11</f>
        <v>#VALUE!</v>
      </c>
      <c r="BHA2">
        <f>'WW CC grad nr'!$AF$12</f>
        <v>41412.909359999998</v>
      </c>
      <c r="BHB2" t="e">
        <f ca="1">_xll.RiskOutput()+'WW CC grad nr'!AF9*'WW CC grad nr'!AF11</f>
        <v>#VALUE!</v>
      </c>
      <c r="BHC2" s="2">
        <f>'WW CC grad nr'!$B$16</f>
        <v>236094.219312</v>
      </c>
      <c r="BHD2" t="e">
        <f ca="1">_xll.RiskOutput()+'WW CC grad nr'!B12*'WW CC grad nr'!B14</f>
        <v>#VALUE!</v>
      </c>
      <c r="BHE2" s="2">
        <f>'WW CC grad nr'!$C$16</f>
        <v>236094.219312</v>
      </c>
      <c r="BHF2" t="e">
        <f ca="1">_xll.RiskOutput()+'WW CC grad nr'!C12*'WW CC grad nr'!C14</f>
        <v>#VALUE!</v>
      </c>
      <c r="BHG2" s="2">
        <f>'WW CC grad nr'!$D$16</f>
        <v>231894.219312</v>
      </c>
      <c r="BHH2" t="e">
        <f ca="1">_xll.RiskOutput()+'WW CC grad nr'!D12*'WW CC grad nr'!D14</f>
        <v>#VALUE!</v>
      </c>
      <c r="BHI2" s="2">
        <f>'WW CC grad nr'!$E$16</f>
        <v>227694.219312</v>
      </c>
      <c r="BHJ2" t="e">
        <f ca="1">_xll.RiskOutput()+'WW CC grad nr'!E12*'WW CC grad nr'!E14</f>
        <v>#VALUE!</v>
      </c>
      <c r="BHK2" s="2">
        <f>'WW CC grad nr'!$F$16</f>
        <v>236094.219312</v>
      </c>
      <c r="BHL2" t="e">
        <f ca="1">_xll.RiskOutput()+'WW CC grad nr'!F12*'WW CC grad nr'!F14</f>
        <v>#VALUE!</v>
      </c>
      <c r="BHM2" s="2">
        <f>'WW CC grad nr'!$G$16</f>
        <v>227694.219312</v>
      </c>
      <c r="BHN2" t="e">
        <f ca="1">_xll.RiskOutput()+'WW CC grad nr'!G12*'WW CC grad nr'!G14</f>
        <v>#VALUE!</v>
      </c>
      <c r="BHO2" s="2">
        <f>'WW CC grad nr'!$H$16</f>
        <v>236094.219312</v>
      </c>
      <c r="BHP2" t="e">
        <f ca="1">_xll.RiskOutput()+'WW CC grad nr'!H12*'WW CC grad nr'!H14</f>
        <v>#VALUE!</v>
      </c>
      <c r="BHQ2" s="2">
        <f>'WW CC grad nr'!$I$16</f>
        <v>227694.219312</v>
      </c>
      <c r="BHR2" t="e">
        <f ca="1">_xll.RiskOutput()+'WW CC grad nr'!I12*'WW CC grad nr'!I14</f>
        <v>#VALUE!</v>
      </c>
      <c r="BHS2" s="2">
        <f>'WW CC grad nr'!$J$16</f>
        <v>236094.219312</v>
      </c>
      <c r="BHT2" t="e">
        <f ca="1">_xll.RiskOutput()+'WW CC grad nr'!J12*'WW CC grad nr'!J14</f>
        <v>#VALUE!</v>
      </c>
      <c r="BHU2" s="2">
        <f>'WW CC grad nr'!$K$16</f>
        <v>227694.219312</v>
      </c>
      <c r="BHV2" t="e">
        <f ca="1">_xll.RiskOutput()+'WW CC grad nr'!K12*'WW CC grad nr'!K14</f>
        <v>#VALUE!</v>
      </c>
      <c r="BHW2" s="2">
        <f>'WW CC grad nr'!$L$16</f>
        <v>219294.219312</v>
      </c>
      <c r="BHX2" t="e">
        <f ca="1">_xll.RiskOutput()+'WW CC grad nr'!L12*'WW CC grad nr'!L14</f>
        <v>#VALUE!</v>
      </c>
      <c r="BHY2" s="2">
        <f>'WW CC grad nr'!$M$16</f>
        <v>215094.219312</v>
      </c>
      <c r="BHZ2" t="e">
        <f ca="1">_xll.RiskOutput()+'WW CC grad nr'!M12*'WW CC grad nr'!M14</f>
        <v>#VALUE!</v>
      </c>
      <c r="BIA2" s="2">
        <f>'WW CC grad nr'!$N$16</f>
        <v>210894.219312</v>
      </c>
      <c r="BIB2" t="e">
        <f ca="1">_xll.RiskOutput()+'WW CC grad nr'!N12*'WW CC grad nr'!N14</f>
        <v>#VALUE!</v>
      </c>
      <c r="BIC2" s="2">
        <f>'WW CC grad nr'!$O$16</f>
        <v>202494.219312</v>
      </c>
      <c r="BID2" t="e">
        <f ca="1">_xll.RiskOutput()+'WW CC grad nr'!O12*'WW CC grad nr'!O14</f>
        <v>#VALUE!</v>
      </c>
      <c r="BIE2" s="2">
        <f>'WW CC grad nr'!$P$16</f>
        <v>210894.219312</v>
      </c>
      <c r="BIF2" t="e">
        <f ca="1">_xll.RiskOutput()+'WW CC grad nr'!P12*'WW CC grad nr'!P14</f>
        <v>#VALUE!</v>
      </c>
      <c r="BIG2" s="2">
        <f>'WW CC grad nr'!$Q$16</f>
        <v>210894.219312</v>
      </c>
      <c r="BIH2" t="e">
        <f ca="1">_xll.RiskOutput()+'WW CC grad nr'!Q12*'WW CC grad nr'!Q14</f>
        <v>#VALUE!</v>
      </c>
      <c r="BII2" s="2">
        <f>'WW CC grad nr'!$R$16</f>
        <v>202494.219312</v>
      </c>
      <c r="BIJ2" t="e">
        <f ca="1">_xll.RiskOutput()+'WW CC grad nr'!R12*'WW CC grad nr'!R14</f>
        <v>#VALUE!</v>
      </c>
      <c r="BIK2" s="2">
        <f>'WW CC grad nr'!$S$16</f>
        <v>206694.219312</v>
      </c>
      <c r="BIL2" t="e">
        <f ca="1">_xll.RiskOutput()+'WW CC grad nr'!S12*'WW CC grad nr'!S14</f>
        <v>#VALUE!</v>
      </c>
      <c r="BIM2" s="2">
        <f>'WW CC grad nr'!$T$16</f>
        <v>219294.219312</v>
      </c>
      <c r="BIN2" t="e">
        <f ca="1">_xll.RiskOutput()+'WW CC grad nr'!T12*'WW CC grad nr'!T14</f>
        <v>#VALUE!</v>
      </c>
      <c r="BIO2" s="2">
        <f>'WW CC grad nr'!$U$16</f>
        <v>227694.219312</v>
      </c>
      <c r="BIP2" t="e">
        <f ca="1">_xll.RiskOutput()+'WW CC grad nr'!U12*'WW CC grad nr'!U14</f>
        <v>#VALUE!</v>
      </c>
      <c r="BIQ2" s="2">
        <f>'WW CC grad nr'!$V$16</f>
        <v>210894.219312</v>
      </c>
      <c r="BIR2" t="e">
        <f ca="1">_xll.RiskOutput()+'WW CC grad nr'!V12*'WW CC grad nr'!V14</f>
        <v>#VALUE!</v>
      </c>
      <c r="BIS2" s="2">
        <f>'WW CC grad nr'!$W$16</f>
        <v>202494.219312</v>
      </c>
      <c r="BIT2" t="e">
        <f ca="1">_xll.RiskOutput()+'WW CC grad nr'!W12*'WW CC grad nr'!W14</f>
        <v>#VALUE!</v>
      </c>
      <c r="BIU2" s="2">
        <f>'WW CC grad nr'!$X$16</f>
        <v>219294.219312</v>
      </c>
      <c r="BIV2" t="e">
        <f ca="1">_xll.RiskOutput()+'WW CC grad nr'!X12*'WW CC grad nr'!X14</f>
        <v>#VALUE!</v>
      </c>
      <c r="BIW2" s="2">
        <f>'WW CC grad nr'!$Y$16</f>
        <v>202494.219312</v>
      </c>
      <c r="BIX2" t="e">
        <f ca="1">_xll.RiskOutput()+'WW CC grad nr'!Y12*'WW CC grad nr'!Y14</f>
        <v>#VALUE!</v>
      </c>
      <c r="BIY2" s="2">
        <f>'WW CC grad nr'!$Z$16</f>
        <v>194094.219312</v>
      </c>
      <c r="BIZ2" t="e">
        <f ca="1">_xll.RiskOutput()+'WW CC grad nr'!Z12*'WW CC grad nr'!Z14</f>
        <v>#VALUE!</v>
      </c>
      <c r="BJA2" s="2">
        <f>'WW CC grad nr'!$AA$16</f>
        <v>202494.219312</v>
      </c>
      <c r="BJB2" t="e">
        <f ca="1">_xll.RiskOutput()+'WW CC grad nr'!AA12*'WW CC grad nr'!AA14</f>
        <v>#VALUE!</v>
      </c>
      <c r="BJC2" s="2">
        <f>'WW CC grad nr'!$AB$16</f>
        <v>198294.219312</v>
      </c>
      <c r="BJD2" t="e">
        <f ca="1">_xll.RiskOutput()+'WW CC grad nr'!AB12*'WW CC grad nr'!AB14</f>
        <v>#VALUE!</v>
      </c>
      <c r="BJE2" s="2">
        <f>'WW CC grad nr'!$AC$16</f>
        <v>185694.219312</v>
      </c>
      <c r="BJF2" t="e">
        <f ca="1">_xll.RiskOutput()+'WW CC grad nr'!AC12*'WW CC grad nr'!AC14</f>
        <v>#VALUE!</v>
      </c>
      <c r="BJG2" s="2">
        <f>'WW CC grad nr'!$AD$16</f>
        <v>177294.219312</v>
      </c>
      <c r="BJH2" t="e">
        <f ca="1">_xll.RiskOutput()+'WW CC grad nr'!AD12*'WW CC grad nr'!AD14</f>
        <v>#VALUE!</v>
      </c>
      <c r="BJI2" s="2">
        <f>'WW CC grad nr'!$AE$16</f>
        <v>175614.219312</v>
      </c>
      <c r="BJJ2" t="e">
        <f ca="1">_xll.RiskOutput()+'WW CC grad nr'!AE12*'WW CC grad nr'!AE14</f>
        <v>#VALUE!</v>
      </c>
      <c r="BJK2" s="2">
        <f>'WW CC grad nr'!$AF$16</f>
        <v>173934.219312</v>
      </c>
      <c r="BJL2" t="e">
        <f ca="1">_xll.RiskOutput()+'WW CC grad nr'!AF12*'WW CC grad nr'!AF14</f>
        <v>#VALUE!</v>
      </c>
      <c r="BJM2" s="2">
        <f>'WW CC grad nr'!$B$17</f>
        <v>29094.219312000001</v>
      </c>
      <c r="BJN2" s="2" t="e">
        <f ca="1">_xll.RiskOutput()+'WW CC grad nr'!B16-'WW CC grad nr'!B13</f>
        <v>#VALUE!</v>
      </c>
      <c r="BJO2" s="2">
        <f>'WW CC grad nr'!$C$17</f>
        <v>29094.219312000001</v>
      </c>
      <c r="BJP2" s="2" t="e">
        <f ca="1">_xll.RiskOutput()+'WW CC grad nr'!C16-'WW CC grad nr'!C13</f>
        <v>#VALUE!</v>
      </c>
      <c r="BJQ2" s="2">
        <f>'WW CC grad nr'!$D$17</f>
        <v>24894.219312000001</v>
      </c>
      <c r="BJR2" s="2" t="e">
        <f ca="1">_xll.RiskOutput()+'WW CC grad nr'!D16-'WW CC grad nr'!D13</f>
        <v>#VALUE!</v>
      </c>
      <c r="BJS2" s="2">
        <f>'WW CC grad nr'!$E$17</f>
        <v>20694.219312000001</v>
      </c>
      <c r="BJT2" s="2" t="e">
        <f ca="1">_xll.RiskOutput()+'WW CC grad nr'!E16-'WW CC grad nr'!E13</f>
        <v>#VALUE!</v>
      </c>
      <c r="BJU2" s="2">
        <f>'WW CC grad nr'!$F$17</f>
        <v>29094.219312000001</v>
      </c>
      <c r="BJV2" s="2" t="e">
        <f ca="1">_xll.RiskOutput()+'WW CC grad nr'!F16-'WW CC grad nr'!F13</f>
        <v>#VALUE!</v>
      </c>
      <c r="BJW2" s="2">
        <f>'WW CC grad nr'!$G$17</f>
        <v>20694.219312000001</v>
      </c>
      <c r="BJX2" s="2" t="e">
        <f ca="1">_xll.RiskOutput()+'WW CC grad nr'!G16-'WW CC grad nr'!G13</f>
        <v>#VALUE!</v>
      </c>
      <c r="BJY2" s="2">
        <f>'WW CC grad nr'!$H$17</f>
        <v>29094.219312000001</v>
      </c>
      <c r="BJZ2" s="2" t="e">
        <f ca="1">_xll.RiskOutput()+'WW CC grad nr'!H16-'WW CC grad nr'!H13</f>
        <v>#VALUE!</v>
      </c>
      <c r="BKA2" s="2">
        <f>'WW CC grad nr'!$I$17</f>
        <v>20694.219312000001</v>
      </c>
      <c r="BKB2" s="2" t="e">
        <f ca="1">_xll.RiskOutput()+'WW CC grad nr'!I16-'WW CC grad nr'!I13</f>
        <v>#VALUE!</v>
      </c>
      <c r="BKC2" s="2">
        <f>'WW CC grad nr'!$J$17</f>
        <v>29094.219312000001</v>
      </c>
      <c r="BKD2" s="2" t="e">
        <f ca="1">_xll.RiskOutput()+'WW CC grad nr'!J16-'WW CC grad nr'!J13</f>
        <v>#VALUE!</v>
      </c>
      <c r="BKE2" s="2">
        <f>'WW CC grad nr'!$K$17</f>
        <v>20694.219312000001</v>
      </c>
      <c r="BKF2" s="2" t="e">
        <f ca="1">_xll.RiskOutput()+'WW CC grad nr'!K16-'WW CC grad nr'!K13</f>
        <v>#VALUE!</v>
      </c>
      <c r="BKG2" s="2">
        <f>'WW CC grad nr'!$L$17</f>
        <v>12294.219312000001</v>
      </c>
      <c r="BKH2" s="2" t="e">
        <f ca="1">_xll.RiskOutput()+'WW CC grad nr'!L16-'WW CC grad nr'!L13</f>
        <v>#VALUE!</v>
      </c>
      <c r="BKI2" s="2">
        <f>'WW CC grad nr'!$M$17</f>
        <v>8094.2193120000011</v>
      </c>
      <c r="BKJ2" s="2" t="e">
        <f ca="1">_xll.RiskOutput()+'WW CC grad nr'!M16-'WW CC grad nr'!M13</f>
        <v>#VALUE!</v>
      </c>
      <c r="BKK2" s="2">
        <f>'WW CC grad nr'!$N$17</f>
        <v>3894.2193120000011</v>
      </c>
      <c r="BKL2" s="2" t="e">
        <f ca="1">_xll.RiskOutput()+'WW CC grad nr'!N16-'WW CC grad nr'!N13</f>
        <v>#VALUE!</v>
      </c>
      <c r="BKM2" s="2">
        <f>'WW CC grad nr'!$O$17</f>
        <v>-4505.7806879999989</v>
      </c>
      <c r="BKN2" s="2" t="e">
        <f ca="1">_xll.RiskOutput()+'WW CC grad nr'!O16-'WW CC grad nr'!O13</f>
        <v>#VALUE!</v>
      </c>
      <c r="BKO2" s="2">
        <f>'WW CC grad nr'!$P$17</f>
        <v>3894.2193120000011</v>
      </c>
      <c r="BKP2" s="2" t="e">
        <f ca="1">_xll.RiskOutput()+'WW CC grad nr'!P16-'WW CC grad nr'!P13</f>
        <v>#VALUE!</v>
      </c>
      <c r="BKQ2" s="2">
        <f>'WW CC grad nr'!$Q$17</f>
        <v>3894.2193120000011</v>
      </c>
      <c r="BKR2" s="2" t="e">
        <f ca="1">_xll.RiskOutput()+'WW CC grad nr'!Q16-'WW CC grad nr'!Q13</f>
        <v>#VALUE!</v>
      </c>
      <c r="BKS2" s="2">
        <f>'WW CC grad nr'!$R$17</f>
        <v>-4505.7806879999989</v>
      </c>
      <c r="BKT2" s="2" t="e">
        <f ca="1">_xll.RiskOutput()+'WW CC grad nr'!R16-'WW CC grad nr'!R13</f>
        <v>#VALUE!</v>
      </c>
      <c r="BKU2" s="2">
        <f>'WW CC grad nr'!$S$17</f>
        <v>-305.78068799999892</v>
      </c>
      <c r="BKV2" s="2" t="e">
        <f ca="1">_xll.RiskOutput()+'WW CC grad nr'!S16-'WW CC grad nr'!S13</f>
        <v>#VALUE!</v>
      </c>
      <c r="BKW2" s="2">
        <f>'WW CC grad nr'!$T$17</f>
        <v>12294.219312000001</v>
      </c>
      <c r="BKX2" s="2" t="e">
        <f ca="1">_xll.RiskOutput()+'WW CC grad nr'!T16-'WW CC grad nr'!T13</f>
        <v>#VALUE!</v>
      </c>
      <c r="BKY2" s="2">
        <f>'WW CC grad nr'!$U$17</f>
        <v>20694.219312000001</v>
      </c>
      <c r="BKZ2" s="2" t="e">
        <f ca="1">_xll.RiskOutput()+'WW CC grad nr'!U16-'WW CC grad nr'!U13</f>
        <v>#VALUE!</v>
      </c>
      <c r="BLA2" s="2">
        <f>'WW CC grad nr'!$V$17</f>
        <v>3894.2193120000011</v>
      </c>
      <c r="BLB2" s="2" t="e">
        <f ca="1">_xll.RiskOutput()+'WW CC grad nr'!V16-'WW CC grad nr'!V13</f>
        <v>#VALUE!</v>
      </c>
      <c r="BLC2" s="2">
        <f>'WW CC grad nr'!$W$17</f>
        <v>-4505.7806879999989</v>
      </c>
      <c r="BLD2" s="2" t="e">
        <f ca="1">_xll.RiskOutput()+'WW CC grad nr'!W16-'WW CC grad nr'!W13</f>
        <v>#VALUE!</v>
      </c>
      <c r="BLE2" s="2">
        <f>'WW CC grad nr'!$X$17</f>
        <v>12294.219312000001</v>
      </c>
      <c r="BLF2" s="2" t="e">
        <f ca="1">_xll.RiskOutput()+'WW CC grad nr'!X16-'WW CC grad nr'!X13</f>
        <v>#VALUE!</v>
      </c>
      <c r="BLG2" s="2">
        <f>'WW CC grad nr'!$Y$17</f>
        <v>-4505.7806879999989</v>
      </c>
      <c r="BLH2" s="2" t="e">
        <f ca="1">_xll.RiskOutput()+'WW CC grad nr'!Y16-'WW CC grad nr'!Y13</f>
        <v>#VALUE!</v>
      </c>
      <c r="BLI2" s="2">
        <f>'WW CC grad nr'!$Z$17</f>
        <v>-12905.780687999999</v>
      </c>
      <c r="BLJ2" s="2" t="e">
        <f ca="1">_xll.RiskOutput()+'WW CC grad nr'!Z16-'WW CC grad nr'!Z13</f>
        <v>#VALUE!</v>
      </c>
      <c r="BLK2" s="2">
        <f>'WW CC grad nr'!$AA$17</f>
        <v>-4505.7806879999989</v>
      </c>
      <c r="BLL2" s="2" t="e">
        <f ca="1">_xll.RiskOutput()+'WW CC grad nr'!AA16-'WW CC grad nr'!AA13</f>
        <v>#VALUE!</v>
      </c>
      <c r="BLM2" s="2">
        <f>'WW CC grad nr'!$AB$17</f>
        <v>-8705.7806879999989</v>
      </c>
      <c r="BLN2" s="2" t="e">
        <f ca="1">_xll.RiskOutput()+'WW CC grad nr'!AB16-'WW CC grad nr'!AB13</f>
        <v>#VALUE!</v>
      </c>
      <c r="BLO2" s="2">
        <f>'WW CC grad nr'!$AC$17</f>
        <v>-21305.780687999999</v>
      </c>
      <c r="BLP2" s="2" t="e">
        <f ca="1">_xll.RiskOutput()+'WW CC grad nr'!AC16-'WW CC grad nr'!AC13</f>
        <v>#VALUE!</v>
      </c>
      <c r="BLQ2" s="2">
        <f>'WW CC grad nr'!$AD$17</f>
        <v>-29705.780687999999</v>
      </c>
      <c r="BLR2" s="2" t="e">
        <f ca="1">_xll.RiskOutput()+'WW CC grad nr'!AD16-'WW CC grad nr'!AD13</f>
        <v>#VALUE!</v>
      </c>
      <c r="BLS2" s="2">
        <f>'WW CC grad nr'!$AE$17</f>
        <v>-31385.780687999999</v>
      </c>
      <c r="BLT2" s="2" t="e">
        <f ca="1">_xll.RiskOutput()+'WW CC grad nr'!AE16-'WW CC grad nr'!AE13</f>
        <v>#VALUE!</v>
      </c>
      <c r="BLU2" s="2">
        <f>'WW CC grad nr'!$AF$17</f>
        <v>-33065.780687999999</v>
      </c>
      <c r="BLV2" s="2" t="e">
        <f ca="1">_xll.RiskOutput()+'WW CC grad nr'!AF16-'WW CC grad nr'!AF13</f>
        <v>#VALUE!</v>
      </c>
      <c r="BLW2" s="1">
        <f>'WW CC grad nr'!$B$21</f>
        <v>195185.77965068299</v>
      </c>
      <c r="BLX2" s="2" t="e">
        <f ca="1">_xll.RiskOutput("NPV")+NPV(3%,'WW CC grad nr'!B17:AF17)</f>
        <v>#VALUE!</v>
      </c>
      <c r="BLY2" s="1">
        <f>'WW CC grad nr'!$C$21</f>
        <v>171947.13372820354</v>
      </c>
      <c r="BLZ2" s="2" t="e">
        <f ca="1">_xll.RiskOutput("NPV")+NPV(3%,'WW CC grad nr'!C17:AF17)</f>
        <v>#VALUE!</v>
      </c>
      <c r="BMA2" s="1">
        <f>'WW CC grad nr'!$D$21</f>
        <v>148011.32842804957</v>
      </c>
      <c r="BMB2" s="2" t="e">
        <f ca="1">_xll.RiskOutput("NPV")+NPV(3%,'WW CC grad nr'!D17:AF17)</f>
        <v>#VALUE!</v>
      </c>
      <c r="BMC2" s="1">
        <f>'WW CC grad nr'!$E$21</f>
        <v>127557.44896889116</v>
      </c>
      <c r="BMD2" s="2" t="e">
        <f ca="1">_xll.RiskOutput("NPV")+NPV(3%,'WW CC grad nr'!E17:AF17)</f>
        <v>#VALUE!</v>
      </c>
      <c r="BME2" s="1">
        <f>'WW CC grad nr'!$F$21</f>
        <v>110689.95312595791</v>
      </c>
      <c r="BMF2" s="2" t="e">
        <f ca="1">_xll.RiskOutput("NPV")+NPV(3%,'WW CC grad nr'!F17:AF17)</f>
        <v>#VALUE!</v>
      </c>
      <c r="BMG2" s="1">
        <f>'WW CC grad nr'!$G$21</f>
        <v>84916.432407736647</v>
      </c>
      <c r="BMH2" s="2" t="e">
        <f ca="1">_xll.RiskOutput("NPV")+NPV(3%,'WW CC grad nr'!G17:AF17)</f>
        <v>#VALUE!</v>
      </c>
      <c r="BMI2" s="1">
        <f>'WW CC grad nr'!$H$21</f>
        <v>66769.706067968669</v>
      </c>
      <c r="BMJ2" s="2" t="e">
        <f ca="1">_xll.RiskOutput("NPV")+NPV(3%,'WW CC grad nr'!H17:AF17)</f>
        <v>#VALUE!</v>
      </c>
      <c r="BMK2" s="1">
        <f>'WW CC grad nr'!$I$21</f>
        <v>39678.577938007751</v>
      </c>
      <c r="BML2" s="2" t="e">
        <f ca="1">_xll.RiskOutput("NPV")+NPV(3%,'WW CC grad nr'!I17:AF17)</f>
        <v>#VALUE!</v>
      </c>
      <c r="BMM2" s="1">
        <f>'WW CC grad nr'!$J$21</f>
        <v>20174.715964148003</v>
      </c>
      <c r="BMN2" s="2" t="e">
        <f ca="1">_xll.RiskOutput("NPV")+NPV(3%,'WW CC grad nr'!J17:AF17)</f>
        <v>#VALUE!</v>
      </c>
      <c r="BMO2" s="1">
        <f>'WW CC grad nr'!$K$21</f>
        <v>-8314.2618689275841</v>
      </c>
      <c r="BMP2" s="2" t="e">
        <f ca="1">_xll.RiskOutput("NPV")+NPV(3%,'WW CC grad nr'!K17:AF17)</f>
        <v>#VALUE!</v>
      </c>
      <c r="BMQ2" s="1">
        <f>'WW CC grad nr'!$L$21</f>
        <v>-29257.90903699541</v>
      </c>
      <c r="BMR2" s="2" t="e">
        <f ca="1">_xll.RiskOutput("NPV")+NPV(3%,'WW CC grad nr'!L17:AO17)</f>
        <v>#VALUE!</v>
      </c>
      <c r="BMS2" s="1">
        <f>'WW CC grad nr'!$M$21</f>
        <v>-42429.86562010528</v>
      </c>
      <c r="BMT2" s="2" t="e">
        <f ca="1">_xll.RiskOutput("NPV")+NPV(3%,'WW CC grad nr'!M17:AP17)</f>
        <v>#VALUE!</v>
      </c>
      <c r="BMU2" s="1">
        <f>'WW CC grad nr'!$N$21</f>
        <v>-51796.98090070844</v>
      </c>
      <c r="BMV2" s="2" t="e">
        <f ca="1">_xll.RiskOutput("NPV")+NPV(3%,'WW CC grad nr'!N17:AQ17)</f>
        <v>#VALUE!</v>
      </c>
      <c r="BMW2" s="1">
        <f>'WW CC grad nr'!$O$21</f>
        <v>-57245.109639729679</v>
      </c>
      <c r="BMX2" s="2" t="e">
        <f ca="1">_xll.RiskOutput("NPV")+NPV(3%,'WW CC grad nr'!O17:AR17)</f>
        <v>#VALUE!</v>
      </c>
      <c r="BMY2" s="1">
        <f>'WW CC grad nr'!$P$21</f>
        <v>-54456.682240921582</v>
      </c>
      <c r="BMZ2" s="2" t="e">
        <f ca="1">_xll.RiskOutput("NPV")+NPV(3%,'WW CC grad nr'!P17:AS17)</f>
        <v>#VALUE!</v>
      </c>
      <c r="BNA2" s="1">
        <f>'WW CC grad nr'!$Q$21</f>
        <v>-59984.60202014925</v>
      </c>
      <c r="BNB2" s="2" t="e">
        <f ca="1">_xll.RiskOutput("NPV")+NPV(3%,'WW CC grad nr'!Q17:AT17)</f>
        <v>#VALUE!</v>
      </c>
      <c r="BNC2" s="1">
        <f>'WW CC grad nr'!$R$21</f>
        <v>-65678.359392753715</v>
      </c>
      <c r="BND2" s="2" t="e">
        <f ca="1">_xll.RiskOutput("NPV")+NPV(3%,'WW CC grad nr'!R17:AU17)</f>
        <v>#VALUE!</v>
      </c>
      <c r="BNE2" s="1">
        <f>'WW CC grad nr'!$S$21</f>
        <v>-63142.929486536334</v>
      </c>
      <c r="BNF2" s="2" t="e">
        <f ca="1">_xll.RiskOutput("NPV")+NPV(3%,'WW CC grad nr'!S17:AV17)</f>
        <v>#VALUE!</v>
      </c>
      <c r="BNG2" s="1">
        <f>'WW CC grad nr'!$T$21</f>
        <v>-64731.436683132437</v>
      </c>
      <c r="BNH2" s="2" t="e">
        <f ca="1">_xll.RiskOutput("NPV")+NPV(3%,'WW CC grad nr'!T17:AW17)</f>
        <v>#VALUE!</v>
      </c>
      <c r="BNI2" s="1">
        <f>'WW CC grad nr'!$U$21</f>
        <v>-78967.599095626414</v>
      </c>
      <c r="BNJ2" s="2" t="e">
        <f ca="1">_xll.RiskOutput("NPV")+NPV(3%,'WW CC grad nr'!U17:AX17)</f>
        <v>#VALUE!</v>
      </c>
      <c r="BNK2" s="1">
        <f>'WW CC grad nr'!$V$21</f>
        <v>-102030.8463804952</v>
      </c>
      <c r="BNL2" s="2" t="e">
        <f ca="1">_xll.RiskOutput("NPV")+NPV(3%,'WW CC grad nr'!V17:AY17)</f>
        <v>#VALUE!</v>
      </c>
      <c r="BNM2" s="1">
        <f>'WW CC grad nr'!$W$21</f>
        <v>-108985.99108391006</v>
      </c>
      <c r="BNN2" s="2" t="e">
        <f ca="1">_xll.RiskOutput("NPV")+NPV(3%,'WW CC grad nr'!W17:AZ17)</f>
        <v>#VALUE!</v>
      </c>
      <c r="BNO2" s="1">
        <f>'WW CC grad nr'!$X$21</f>
        <v>-107749.79012842737</v>
      </c>
      <c r="BNP2" s="2" t="e">
        <f ca="1">_xll.RiskOutput("NPV")+NPV(3%,'WW CC grad nr'!X17:BA17)</f>
        <v>#VALUE!</v>
      </c>
      <c r="BNQ2" s="1">
        <f>'WW CC grad nr'!$Y$21</f>
        <v>-123276.50314428018</v>
      </c>
      <c r="BNR2" s="2" t="e">
        <f ca="1">_xll.RiskOutput("NPV")+NPV(3%,'WW CC grad nr'!Y17:BB17)</f>
        <v>#VALUE!</v>
      </c>
      <c r="BNS2" s="1">
        <f>'WW CC grad nr'!$Z$21</f>
        <v>-122469.01755060862</v>
      </c>
      <c r="BNT2" s="2" t="e">
        <f ca="1">_xll.RiskOutput("NPV")+NPV(3%,'WW CC grad nr'!Z17:BC17)</f>
        <v>#VALUE!</v>
      </c>
      <c r="BNU2" s="1">
        <f>'WW CC grad nr'!$AA$21</f>
        <v>-113237.30738912687</v>
      </c>
      <c r="BNV2" s="2" t="e">
        <f ca="1">_xll.RiskOutput("NPV")+NPV(3%,'WW CC grad nr'!AA17:BD17)</f>
        <v>#VALUE!</v>
      </c>
      <c r="BNW2" s="1">
        <f>'WW CC grad nr'!$AB$21</f>
        <v>-112128.64592280067</v>
      </c>
      <c r="BNX2" s="2" t="e">
        <f ca="1">_xll.RiskOutput("NPV")+NPV(3%,'WW CC grad nr'!AB17:BE17)</f>
        <v>#VALUE!</v>
      </c>
      <c r="BNY2" s="1">
        <f>'WW CC grad nr'!$AC$21</f>
        <v>-106786.7246124847</v>
      </c>
      <c r="BNZ2" s="2" t="e">
        <f ca="1">_xll.RiskOutput("NPV")+NPV(3%,'WW CC grad nr'!AC17:BF17)</f>
        <v>#VALUE!</v>
      </c>
      <c r="BOA2" s="1">
        <f>'WW CC grad nr'!$AD$21</f>
        <v>-88684.545662859251</v>
      </c>
      <c r="BOB2" s="2" t="e">
        <f ca="1">_xll.RiskOutput("NPV")+NPV(3%,'WW CC grad nr'!AD17:BG17)</f>
        <v>#VALUE!</v>
      </c>
      <c r="BOC2" s="1">
        <f>'WW CC grad nr'!$AE$21</f>
        <v>-61639.301344745021</v>
      </c>
      <c r="BOD2" s="2" t="e">
        <f ca="1">_xll.RiskOutput("NPV")+NPV(3%,'WW CC grad nr'!AE17:BH17)</f>
        <v>#VALUE!</v>
      </c>
      <c r="BOE2" s="1">
        <f>'WW CC grad nr'!$AF$21</f>
        <v>-32102.699697087377</v>
      </c>
      <c r="BOF2" s="2" t="e">
        <f ca="1">_xll.RiskOutput("NPV")+NPV(3%,'WW CC grad nr'!AF17:BI17)</f>
        <v>#VALUE!</v>
      </c>
      <c r="BOG2">
        <f>'WW CC grad nr'!$B$26</f>
        <v>0</v>
      </c>
      <c r="BOH2" t="e">
        <f ca="1">RiskValStatic(0)+_xll.RiskBinomial(1,0.05)</f>
        <v>#NAME?</v>
      </c>
      <c r="BOI2">
        <f>'WW CC grad nr'!$C$26</f>
        <v>0</v>
      </c>
      <c r="BOJ2" t="e">
        <f ca="1">RiskValStatic(0)+_xll.RiskBinomial(1,0.05)</f>
        <v>#NAME?</v>
      </c>
      <c r="BOK2">
        <f>'WW CC grad nr'!$D$26</f>
        <v>0</v>
      </c>
      <c r="BOL2" t="e">
        <f ca="1">RiskValStatic(0)+_xll.RiskBinomial(1,0.05)</f>
        <v>#NAME?</v>
      </c>
      <c r="BOM2">
        <f>'WW CC grad nr'!$E$26</f>
        <v>0</v>
      </c>
      <c r="BON2" t="e">
        <f ca="1">RiskValStatic(0)+_xll.RiskBinomial(1,0.05)</f>
        <v>#NAME?</v>
      </c>
      <c r="BOO2">
        <f>'WW CC grad nr'!$F$26</f>
        <v>0</v>
      </c>
      <c r="BOP2" t="e">
        <f ca="1">RiskValStatic(0)+_xll.RiskBinomial(1,0.05)</f>
        <v>#NAME?</v>
      </c>
      <c r="BOQ2">
        <f>'WW CC grad nr'!$G$26</f>
        <v>0</v>
      </c>
      <c r="BOR2" t="e">
        <f ca="1">RiskValStatic(0)+_xll.RiskBinomial(1,0.05)</f>
        <v>#NAME?</v>
      </c>
      <c r="BOS2">
        <f>'WW CC grad nr'!$H$26</f>
        <v>0</v>
      </c>
      <c r="BOT2" t="e">
        <f ca="1">RiskValStatic(0)+_xll.RiskBinomial(1,0.05)</f>
        <v>#NAME?</v>
      </c>
      <c r="BOU2">
        <f>'WW CC grad nr'!$I$26</f>
        <v>0</v>
      </c>
      <c r="BOV2" t="e">
        <f ca="1">RiskValStatic(0)+_xll.RiskBinomial(1,0.05)</f>
        <v>#NAME?</v>
      </c>
      <c r="BOW2">
        <f>'WW CC grad nr'!$J$26</f>
        <v>0</v>
      </c>
      <c r="BOX2" t="e">
        <f ca="1">RiskValStatic(0)+_xll.RiskBinomial(1,0.05)</f>
        <v>#NAME?</v>
      </c>
      <c r="BOY2">
        <f>'WW CC grad nr'!$K$26</f>
        <v>0</v>
      </c>
      <c r="BOZ2" t="e">
        <f ca="1">RiskValStatic(0)+_xll.RiskBinomial(1,0.05)</f>
        <v>#NAME?</v>
      </c>
      <c r="BPA2">
        <f>'WW CC grad nr'!$L$26</f>
        <v>0</v>
      </c>
      <c r="BPB2" t="e">
        <f ca="1">RiskValStatic(0)+_xll.RiskBinomial(1,0.05)</f>
        <v>#NAME?</v>
      </c>
      <c r="BPC2">
        <f>'WW CC grad nr'!$M$26</f>
        <v>0</v>
      </c>
      <c r="BPD2" t="e">
        <f ca="1">RiskValStatic(0)+_xll.RiskBinomial(1,0.05)</f>
        <v>#NAME?</v>
      </c>
      <c r="BPE2">
        <f>'WW CC grad nr'!$N$26</f>
        <v>0</v>
      </c>
      <c r="BPF2" t="e">
        <f ca="1">RiskValStatic(0)+_xll.RiskBinomial(1,0.05)</f>
        <v>#NAME?</v>
      </c>
      <c r="BPG2">
        <f>'WW CC grad nr'!$O$26</f>
        <v>0</v>
      </c>
      <c r="BPH2" t="e">
        <f ca="1">RiskValStatic(0)+_xll.RiskBinomial(1,0.05)</f>
        <v>#NAME?</v>
      </c>
      <c r="BPI2">
        <f>'WW CC grad nr'!$P$26</f>
        <v>0</v>
      </c>
      <c r="BPJ2" t="e">
        <f ca="1">RiskValStatic(0)+_xll.RiskBinomial(1,0.05)</f>
        <v>#NAME?</v>
      </c>
      <c r="BPK2">
        <f>'WW CC grad nr'!$Q$26</f>
        <v>0</v>
      </c>
      <c r="BPL2" t="e">
        <f ca="1">RiskValStatic(0)+_xll.RiskBinomial(1,0.05)</f>
        <v>#NAME?</v>
      </c>
      <c r="BPM2">
        <f>'WW CC grad nr'!$R$26</f>
        <v>0</v>
      </c>
      <c r="BPN2" t="e">
        <f ca="1">RiskValStatic(0)+_xll.RiskBinomial(1,0.05)</f>
        <v>#NAME?</v>
      </c>
      <c r="BPO2">
        <f>'WW CC grad nr'!$S$26</f>
        <v>0</v>
      </c>
      <c r="BPP2" t="e">
        <f ca="1">RiskValStatic(0)+_xll.RiskBinomial(1,0.05)</f>
        <v>#NAME?</v>
      </c>
      <c r="BPQ2">
        <f>'WW CC grad nr'!$T$26</f>
        <v>0</v>
      </c>
      <c r="BPR2" t="e">
        <f ca="1">RiskValStatic(0)+_xll.RiskBinomial(1,0.05)</f>
        <v>#NAME?</v>
      </c>
      <c r="BPS2">
        <f>'WW CC grad nr'!$U$26</f>
        <v>0</v>
      </c>
      <c r="BPT2" t="e">
        <f ca="1">RiskValStatic(0)+_xll.RiskBinomial(1,0.05)</f>
        <v>#NAME?</v>
      </c>
      <c r="BPU2">
        <f>'WW CC grad nr'!$V$26</f>
        <v>0</v>
      </c>
      <c r="BPV2" t="e">
        <f ca="1">RiskValStatic(0)+_xll.RiskBinomial(1,0.05)</f>
        <v>#NAME?</v>
      </c>
      <c r="BPW2">
        <f>'WW CC grad nr'!$W$26</f>
        <v>0</v>
      </c>
      <c r="BPX2" t="e">
        <f ca="1">RiskValStatic(0)+_xll.RiskBinomial(1,0.05)</f>
        <v>#NAME?</v>
      </c>
      <c r="BPY2">
        <f>'WW CC grad nr'!$X$26</f>
        <v>0</v>
      </c>
      <c r="BPZ2" t="e">
        <f ca="1">RiskValStatic(0)+_xll.RiskBinomial(1,0.05)</f>
        <v>#NAME?</v>
      </c>
      <c r="BQA2">
        <f>'WW CC grad nr'!$Y$26</f>
        <v>0</v>
      </c>
      <c r="BQB2" t="e">
        <f ca="1">RiskValStatic(0)+_xll.RiskBinomial(1,0.05)</f>
        <v>#NAME?</v>
      </c>
      <c r="BQC2">
        <f>'WW CC grad nr'!$Z$26</f>
        <v>0</v>
      </c>
      <c r="BQD2" t="e">
        <f ca="1">RiskValStatic(0)+_xll.RiskBinomial(1,0.05)</f>
        <v>#NAME?</v>
      </c>
      <c r="BQE2">
        <f>'WW CC grad nr'!$AA$26</f>
        <v>0</v>
      </c>
      <c r="BQF2" t="e">
        <f ca="1">RiskValStatic(0)+_xll.RiskBinomial(1,0.05)</f>
        <v>#NAME?</v>
      </c>
      <c r="BQG2">
        <f>'WW CC grad nr'!$AB$26</f>
        <v>0</v>
      </c>
      <c r="BQH2" t="e">
        <f ca="1">RiskValStatic(0)+_xll.RiskBinomial(1,0.05)</f>
        <v>#NAME?</v>
      </c>
      <c r="BQI2">
        <f>'WW CC grad nr'!$AC$26</f>
        <v>0</v>
      </c>
      <c r="BQJ2" t="e">
        <f ca="1">RiskValStatic(0)+_xll.RiskBinomial(1,0.05)</f>
        <v>#NAME?</v>
      </c>
      <c r="BQK2">
        <f>'WW CC grad nr'!$AD$26</f>
        <v>0</v>
      </c>
      <c r="BQL2" t="e">
        <f ca="1">RiskValStatic(0)+_xll.RiskBinomial(1,0.05)</f>
        <v>#NAME?</v>
      </c>
      <c r="BQM2">
        <f>'WW CC grad nr'!$AE$26</f>
        <v>0</v>
      </c>
      <c r="BQN2" t="e">
        <f ca="1">RiskValStatic(0)+_xll.RiskBinomial(1,0.05)</f>
        <v>#NAME?</v>
      </c>
      <c r="BQO2">
        <f>'WW CC grad nr'!$AF$26</f>
        <v>0</v>
      </c>
      <c r="BQP2" t="e">
        <f ca="1">RiskValStatic(0)+_xll.RiskBinomial(1,0.05)</f>
        <v>#NAME?</v>
      </c>
      <c r="BQQ2">
        <f>'WW CC grad r'!$B$8</f>
        <v>28.106454679999999</v>
      </c>
      <c r="BQR2" t="e">
        <f ca="1">RiskValStatic(28.10645468)+_xll.RiskExtvalueMin('WW CC grad r'!B7,6.3989,_xll.RiskName("WW CC neg"))</f>
        <v>#NAME?</v>
      </c>
      <c r="BQS2">
        <f>'WW CC grad r'!$C$8</f>
        <v>28.106454679999999</v>
      </c>
      <c r="BQT2" t="e">
        <f ca="1">RiskValStatic(28.10645468)+_xll.RiskExtvalueMin('WW CC grad r'!C7,6.3989,_xll.RiskName("WW CC neg"))</f>
        <v>#NAME?</v>
      </c>
      <c r="BQU2">
        <f>'WW CC grad r'!$D$8</f>
        <v>27.606454679999999</v>
      </c>
      <c r="BQV2" t="e">
        <f ca="1">RiskValStatic(27.60645468)+_xll.RiskExtvalueMin('WW CC grad r'!D7,6.3989,_xll.RiskName("WW CC neg"))</f>
        <v>#NAME?</v>
      </c>
      <c r="BQW2">
        <f>'WW CC grad r'!$E$8</f>
        <v>27.106454679999999</v>
      </c>
      <c r="BQX2" t="e">
        <f ca="1">RiskValStatic(27.10645468)+_xll.RiskExtvalueMin('WW CC grad r'!E7,6.3989,_xll.RiskName("WW CC neg"))</f>
        <v>#NAME?</v>
      </c>
      <c r="BQY2">
        <f>'WW CC grad r'!$F$8</f>
        <v>28.106454679999999</v>
      </c>
      <c r="BQZ2" t="e">
        <f ca="1">RiskValStatic(28.10645468)+_xll.RiskExtvalueMin('WW CC grad r'!F7,6.3989,_xll.RiskName("WW CC neg"))</f>
        <v>#NAME?</v>
      </c>
      <c r="BRA2">
        <f>'WW CC grad r'!$G$8</f>
        <v>27.106454679999999</v>
      </c>
      <c r="BRB2" t="e">
        <f ca="1">RiskValStatic(27.10645468)+_xll.RiskExtvalueMin('WW CC grad r'!G7,6.3989,_xll.RiskName("WW CC neg"))</f>
        <v>#NAME?</v>
      </c>
      <c r="BRC2">
        <f>'WW CC grad r'!$H$8</f>
        <v>28.106454679999999</v>
      </c>
      <c r="BRD2" t="e">
        <f ca="1">RiskValStatic(28.10645468)+_xll.RiskExtvalueMin('WW CC grad r'!H7,6.3989,_xll.RiskName("WW CC neg"))</f>
        <v>#NAME?</v>
      </c>
      <c r="BRE2">
        <f>'WW CC grad r'!$I$8</f>
        <v>27.106454679999999</v>
      </c>
      <c r="BRF2" t="e">
        <f ca="1">RiskValStatic(27.10645468)+_xll.RiskExtvalueMin('WW CC grad r'!I7,6.3989,_xll.RiskName("WW CC neg"))</f>
        <v>#NAME?</v>
      </c>
      <c r="BRG2">
        <f>'WW CC grad r'!$J$8</f>
        <v>28.106454679999999</v>
      </c>
      <c r="BRH2" t="e">
        <f ca="1">RiskValStatic(28.10645468)+_xll.RiskExtvalueMin('WW CC grad r'!J7,6.3989,_xll.RiskName("WW CC neg"))</f>
        <v>#NAME?</v>
      </c>
      <c r="BRI2">
        <f>'WW CC grad r'!$K$8</f>
        <v>27.106454679999999</v>
      </c>
      <c r="BRJ2" t="e">
        <f ca="1">RiskValStatic(27.10645468)+_xll.RiskExtvalueMin('WW CC grad r'!K7,6.3989,_xll.RiskName("WW CC neg"))</f>
        <v>#NAME?</v>
      </c>
      <c r="BRK2">
        <f>'WW CC grad r'!$L$8</f>
        <v>26.106454679999999</v>
      </c>
      <c r="BRL2" t="e">
        <f ca="1">RiskValStatic(26.10645468)+_xll.RiskExtvalueMin('WW CC grad r'!L7,6.3989,_xll.RiskName("WW CC neg"))</f>
        <v>#NAME?</v>
      </c>
      <c r="BRM2">
        <f>'WW CC grad r'!$M$8</f>
        <v>25.606454679999999</v>
      </c>
      <c r="BRN2" t="e">
        <f ca="1">RiskValStatic(25.60645468)+_xll.RiskExtvalueMin('WW CC grad r'!M7,6.3989,_xll.RiskName("WW CC neg"))</f>
        <v>#NAME?</v>
      </c>
      <c r="BRO2">
        <f>'WW CC grad r'!$N$8</f>
        <v>25.106454679999999</v>
      </c>
      <c r="BRP2" t="e">
        <f ca="1">RiskValStatic(25.10645468)+_xll.RiskExtvalueMin('WW CC grad r'!N7,6.3989,_xll.RiskName("WW CC neg"))</f>
        <v>#NAME?</v>
      </c>
      <c r="BRQ2">
        <f>'WW CC grad r'!$O$8</f>
        <v>24.106454679999999</v>
      </c>
      <c r="BRR2" t="e">
        <f ca="1">RiskValStatic(24.10645468)+_xll.RiskExtvalueMin('WW CC grad r'!O7,6.3989,_xll.RiskName("WW CC neg"))</f>
        <v>#NAME?</v>
      </c>
      <c r="BRS2">
        <f>'WW CC grad r'!$P$8</f>
        <v>25.106454679999999</v>
      </c>
      <c r="BRT2" t="e">
        <f ca="1">RiskValStatic(25.10645468)+_xll.RiskExtvalueMin('WW CC grad r'!P7,6.3989,_xll.RiskName("WW CC neg"))</f>
        <v>#NAME?</v>
      </c>
      <c r="BRU2">
        <f>'WW CC grad r'!$Q$8</f>
        <v>28.8</v>
      </c>
      <c r="BRV2" t="e">
        <f ca="1">RiskValStatic(28.8)+_xll.RiskNormal('WW CC grad r'!Q7,6.4389,_xll.RiskName("WW CC norm"))</f>
        <v>#NAME?</v>
      </c>
      <c r="BRW2">
        <f>'WW CC grad r'!$R$8</f>
        <v>28</v>
      </c>
      <c r="BRX2" t="e">
        <f ca="1">RiskValStatic(28)+_xll.RiskNormal('WW CC grad r'!R7,6.4389,_xll.RiskName("WW CC norm"))</f>
        <v>#NAME?</v>
      </c>
      <c r="BRY2">
        <f>'WW CC grad r'!$S$8</f>
        <v>29</v>
      </c>
      <c r="BRZ2" t="e">
        <f ca="1">RiskValStatic(29)+_xll.RiskNormal('WW CC grad r'!S7,6.4389,_xll.RiskName("WW CC norm"))</f>
        <v>#NAME?</v>
      </c>
      <c r="BSA2">
        <f>'WW CC grad r'!$T$8</f>
        <v>30</v>
      </c>
      <c r="BSB2" t="e">
        <f ca="1">RiskValStatic(30)+_xll.RiskNormal('WW CC grad r'!T7,6.4389,_xll.RiskName("WW CC norm"))</f>
        <v>#NAME?</v>
      </c>
      <c r="BSC2">
        <f>'WW CC grad r'!$U$8</f>
        <v>31</v>
      </c>
      <c r="BSD2" t="e">
        <f ca="1">RiskValStatic(31)+_xll.RiskNormal('WW CC grad r'!U7,6.4389,_xll.RiskName("WW CC norm"))</f>
        <v>#NAME?</v>
      </c>
      <c r="BSE2">
        <f>'WW CC grad r'!$V$8</f>
        <v>32</v>
      </c>
      <c r="BSF2" t="e">
        <f ca="1">RiskValStatic(32)+_xll.RiskNormal('WW CC grad r'!V7,6.4389,_xll.RiskName("WW CC norm"))</f>
        <v>#NAME?</v>
      </c>
      <c r="BSG2">
        <f>'WW CC grad r'!$W$8</f>
        <v>33.5</v>
      </c>
      <c r="BSH2" t="e">
        <f ca="1">RiskValStatic(33.5)+_xll.RiskNormal('WW CC grad r'!W7,6.4389,_xll.RiskName("WW CC norm"))</f>
        <v>#NAME?</v>
      </c>
      <c r="BSI2">
        <f>'WW CC grad r'!$X$8</f>
        <v>35</v>
      </c>
      <c r="BSJ2" t="e">
        <f ca="1">RiskValStatic(35)+_xll.RiskNormal('WW CC grad r'!X7,6.4389,_xll.RiskName("WW CC norm"))</f>
        <v>#NAME?</v>
      </c>
      <c r="BSK2">
        <f>'WW CC grad r'!$Y$8</f>
        <v>34.5</v>
      </c>
      <c r="BSL2" t="e">
        <f ca="1">RiskValStatic(34.5)+_xll.RiskNormal('WW CC grad r'!Y7,6.4389,_xll.RiskName("WW CC norm"))</f>
        <v>#NAME?</v>
      </c>
      <c r="BSM2">
        <f>'WW CC grad r'!$Z$8</f>
        <v>36</v>
      </c>
      <c r="BSN2" t="e">
        <f ca="1">RiskValStatic(36)+_xll.RiskNormal('WW CC grad r'!Z7,6.4389,_xll.RiskName("WW CC norm"))</f>
        <v>#NAME?</v>
      </c>
      <c r="BSO2">
        <f>'WW CC grad r'!$AA$8</f>
        <v>35.5</v>
      </c>
      <c r="BSP2" t="e">
        <f ca="1">RiskValStatic(35.5)+_xll.RiskNormal('WW CC grad r'!AA7,6.4389,_xll.RiskName("WW CC norm"))</f>
        <v>#NAME?</v>
      </c>
      <c r="BSQ2">
        <f>'WW CC grad r'!$AB$8</f>
        <v>37</v>
      </c>
      <c r="BSR2" t="e">
        <f ca="1">RiskValStatic(37)+_xll.RiskNormal('WW CC grad r'!AB7,6.4389,_xll.RiskName("WW CC norm"))</f>
        <v>#NAME?</v>
      </c>
      <c r="BSS2">
        <f>'WW CC grad r'!$AC$8</f>
        <v>36.5</v>
      </c>
      <c r="BST2" t="e">
        <f ca="1">RiskValStatic(36.5)+_xll.RiskNormal('WW CC grad r'!AC7,6.4389,_xll.RiskName("WW CC norm"))</f>
        <v>#NAME?</v>
      </c>
      <c r="BSU2">
        <f>'WW CC grad r'!$AD$8</f>
        <v>37.5</v>
      </c>
      <c r="BSV2" t="e">
        <f ca="1">RiskValStatic(37.5)+_xll.RiskNormal('WW CC grad r'!AD7,6.4389,_xll.RiskName("WW CC norm"))</f>
        <v>#NAME?</v>
      </c>
      <c r="BSW2">
        <f>'WW CC grad r'!$AE$8</f>
        <v>37.299999999999997</v>
      </c>
      <c r="BSX2" t="e">
        <f ca="1">RiskValStatic(37.3)+_xll.RiskNormal('WW CC grad r'!AE7,6.4389,_xll.RiskName("WW CC norm"))</f>
        <v>#NAME?</v>
      </c>
      <c r="BSY2">
        <f>'WW CC grad r'!$AF$8</f>
        <v>37.1</v>
      </c>
      <c r="BSZ2" t="e">
        <f ca="1">RiskValStatic(37.1)+_xll.RiskNormal('WW CC grad r'!AF7,6.4389,_xll.RiskName("WW CC norm"))</f>
        <v>#NAME?</v>
      </c>
      <c r="BTA2" s="8">
        <f>'WW CC grad r'!$B$11</f>
        <v>56212.909359999998</v>
      </c>
      <c r="BTB2" t="e">
        <f ca="1">_xll.RiskOutput()+'WW CC grad r'!B8*'WW CC grad r'!B10</f>
        <v>#VALUE!</v>
      </c>
      <c r="BTC2" s="8">
        <f>'WW CC grad r'!$C$11</f>
        <v>56212.909359999998</v>
      </c>
      <c r="BTD2" t="e">
        <f ca="1">_xll.RiskOutput()+'WW CC grad r'!C8*'WW CC grad r'!C10</f>
        <v>#VALUE!</v>
      </c>
      <c r="BTE2" s="8">
        <f>'WW CC grad r'!$D$11</f>
        <v>55212.909359999998</v>
      </c>
      <c r="BTF2" t="e">
        <f ca="1">_xll.RiskOutput()+'WW CC grad r'!D8*'WW CC grad r'!D10</f>
        <v>#VALUE!</v>
      </c>
      <c r="BTG2" s="8">
        <f>'WW CC grad r'!$E$11</f>
        <v>54212.909359999998</v>
      </c>
      <c r="BTH2" t="e">
        <f ca="1">_xll.RiskOutput()+'WW CC grad r'!E8*'WW CC grad r'!E10</f>
        <v>#VALUE!</v>
      </c>
      <c r="BTI2" s="8">
        <f>'WW CC grad r'!$F$11</f>
        <v>56212.909359999998</v>
      </c>
      <c r="BTJ2" t="e">
        <f ca="1">_xll.RiskOutput()+'WW CC grad r'!F8*'WW CC grad r'!F10</f>
        <v>#VALUE!</v>
      </c>
      <c r="BTK2" s="8">
        <f>'WW CC grad r'!$G$11</f>
        <v>54212.909359999998</v>
      </c>
      <c r="BTL2" t="e">
        <f ca="1">_xll.RiskOutput()+'WW CC grad r'!G8*'WW CC grad r'!G10</f>
        <v>#VALUE!</v>
      </c>
      <c r="BTM2" s="8">
        <f>'WW CC grad r'!$H$11</f>
        <v>56212.909359999998</v>
      </c>
      <c r="BTN2" t="e">
        <f ca="1">_xll.RiskOutput()+'WW CC grad r'!H8*'WW CC grad r'!H10</f>
        <v>#VALUE!</v>
      </c>
      <c r="BTO2" s="8">
        <f>'WW CC grad r'!$I$11</f>
        <v>54212.909359999998</v>
      </c>
      <c r="BTP2" t="e">
        <f ca="1">_xll.RiskOutput()+'WW CC grad r'!I8*'WW CC grad r'!I10</f>
        <v>#VALUE!</v>
      </c>
      <c r="BTQ2" s="8">
        <f>'WW CC grad r'!$J$11</f>
        <v>56212.909359999998</v>
      </c>
      <c r="BTR2" t="e">
        <f ca="1">_xll.RiskOutput()+'WW CC grad r'!J8*'WW CC grad r'!J10</f>
        <v>#VALUE!</v>
      </c>
      <c r="BTS2" s="8">
        <f>'WW CC grad r'!$K$11</f>
        <v>54212.909359999998</v>
      </c>
      <c r="BTT2" t="e">
        <f ca="1">_xll.RiskOutput()+'WW CC grad r'!K8*'WW CC grad r'!K10</f>
        <v>#VALUE!</v>
      </c>
      <c r="BTU2" s="8">
        <f>'WW CC grad r'!$L$11</f>
        <v>52212.909359999998</v>
      </c>
      <c r="BTV2" t="e">
        <f ca="1">_xll.RiskOutput()+'WW CC grad r'!L8*'WW CC grad r'!L10</f>
        <v>#VALUE!</v>
      </c>
      <c r="BTW2" s="8">
        <f>'WW CC grad r'!$M$11</f>
        <v>51212.909359999998</v>
      </c>
      <c r="BTX2" t="e">
        <f ca="1">_xll.RiskOutput()+'WW CC grad r'!M8*'WW CC grad r'!M10</f>
        <v>#VALUE!</v>
      </c>
      <c r="BTY2" s="8">
        <f>'WW CC grad r'!$N$11</f>
        <v>50212.909359999998</v>
      </c>
      <c r="BTZ2" t="e">
        <f ca="1">_xll.RiskOutput()+'WW CC grad r'!N8*'WW CC grad r'!N10</f>
        <v>#VALUE!</v>
      </c>
      <c r="BUA2" s="8">
        <f>'WW CC grad r'!$O$11</f>
        <v>48212.909359999998</v>
      </c>
      <c r="BUB2" t="e">
        <f ca="1">_xll.RiskOutput()+'WW CC grad r'!O8*'WW CC grad r'!O10</f>
        <v>#VALUE!</v>
      </c>
      <c r="BUC2" s="8">
        <f>'WW CC grad r'!$P$11</f>
        <v>50212.909359999998</v>
      </c>
      <c r="BUD2" t="e">
        <f ca="1">_xll.RiskOutput()+'WW CC grad r'!P8*'WW CC grad r'!P10</f>
        <v>#VALUE!</v>
      </c>
      <c r="BUE2">
        <f>'WW CC grad r'!$Q$11</f>
        <v>57600</v>
      </c>
      <c r="BUF2" t="e">
        <f ca="1">_xll.RiskOutput()+'WW CC grad r'!Q8*'WW CC grad r'!Q10</f>
        <v>#VALUE!</v>
      </c>
      <c r="BUG2">
        <f>'WW CC grad r'!$R$11</f>
        <v>56000</v>
      </c>
      <c r="BUH2" t="e">
        <f ca="1">_xll.RiskOutput()+'WW CC grad r'!R8*'WW CC grad r'!R10</f>
        <v>#VALUE!</v>
      </c>
      <c r="BUI2">
        <f>'WW CC grad r'!$S$11</f>
        <v>58000</v>
      </c>
      <c r="BUJ2" t="e">
        <f ca="1">_xll.RiskOutput()+'WW CC grad r'!S8*'WW CC grad r'!S10</f>
        <v>#VALUE!</v>
      </c>
      <c r="BUK2">
        <f>'WW CC grad r'!$T$11</f>
        <v>60000</v>
      </c>
      <c r="BUL2" t="e">
        <f ca="1">_xll.RiskOutput()+'WW CC grad r'!T8*'WW CC grad r'!T10</f>
        <v>#VALUE!</v>
      </c>
      <c r="BUM2">
        <f>'WW CC grad r'!$U$11</f>
        <v>62000</v>
      </c>
      <c r="BUN2" t="e">
        <f ca="1">_xll.RiskOutput()+'WW CC grad r'!U8*'WW CC grad r'!U10</f>
        <v>#VALUE!</v>
      </c>
      <c r="BUO2">
        <f>'WW CC grad r'!$V$11</f>
        <v>64000</v>
      </c>
      <c r="BUP2" t="e">
        <f ca="1">_xll.RiskOutput()+'WW CC grad r'!V8*'WW CC grad r'!V10</f>
        <v>#VALUE!</v>
      </c>
      <c r="BUQ2">
        <f>'WW CC grad r'!$W$11</f>
        <v>67000</v>
      </c>
      <c r="BUR2" t="e">
        <f ca="1">_xll.RiskOutput()+'WW CC grad r'!W8*'WW CC grad r'!W10</f>
        <v>#VALUE!</v>
      </c>
      <c r="BUS2">
        <f>'WW CC grad r'!$X$11</f>
        <v>70000</v>
      </c>
      <c r="BUT2" t="e">
        <f ca="1">_xll.RiskOutput()+'WW CC grad r'!X8*'WW CC grad r'!X10</f>
        <v>#VALUE!</v>
      </c>
      <c r="BUU2">
        <f>'WW CC grad r'!$Y$11</f>
        <v>69000</v>
      </c>
      <c r="BUV2" t="e">
        <f ca="1">_xll.RiskOutput()+'WW CC grad r'!Y8*'WW CC grad r'!Y10</f>
        <v>#VALUE!</v>
      </c>
      <c r="BUW2">
        <f>'WW CC grad r'!$Z$11</f>
        <v>72000</v>
      </c>
      <c r="BUX2" t="e">
        <f ca="1">_xll.RiskOutput()+'WW CC grad r'!Z8*'WW CC grad r'!Z10</f>
        <v>#VALUE!</v>
      </c>
      <c r="BUY2">
        <f>'WW CC grad r'!$AA$11</f>
        <v>71000</v>
      </c>
      <c r="BUZ2" t="e">
        <f ca="1">_xll.RiskOutput()+'WW CC grad r'!AA8*'WW CC grad r'!AA10</f>
        <v>#VALUE!</v>
      </c>
      <c r="BVA2">
        <f>'WW CC grad r'!$AB$11</f>
        <v>74000</v>
      </c>
      <c r="BVB2" t="e">
        <f ca="1">_xll.RiskOutput()+'WW CC grad r'!AB8*'WW CC grad r'!AB10</f>
        <v>#VALUE!</v>
      </c>
      <c r="BVC2">
        <f>'WW CC grad r'!$AC$11</f>
        <v>73000</v>
      </c>
      <c r="BVD2" t="e">
        <f ca="1">_xll.RiskOutput()+'WW CC grad r'!AC8*'WW CC grad r'!AC10</f>
        <v>#VALUE!</v>
      </c>
      <c r="BVE2">
        <f>'WW CC grad r'!$AD$11</f>
        <v>75000</v>
      </c>
      <c r="BVF2" t="e">
        <f ca="1">_xll.RiskOutput()+'WW CC grad r'!AD8*'WW CC grad r'!AD10</f>
        <v>#VALUE!</v>
      </c>
      <c r="BVG2">
        <f>'WW CC grad r'!$AE$11</f>
        <v>74600</v>
      </c>
      <c r="BVH2" t="e">
        <f ca="1">_xll.RiskOutput()+'WW CC grad r'!AE8*'WW CC grad r'!AE10</f>
        <v>#VALUE!</v>
      </c>
      <c r="BVI2">
        <f>'WW CC grad r'!$AF$11</f>
        <v>74200</v>
      </c>
      <c r="BVJ2" t="e">
        <f ca="1">_xll.RiskOutput()+'WW CC grad r'!AF8*'WW CC grad r'!AF10</f>
        <v>#VALUE!</v>
      </c>
      <c r="BVK2" s="2">
        <f>'WW CC grad r'!$B$15</f>
        <v>236094.219312</v>
      </c>
      <c r="BVL2" t="e">
        <f ca="1">_xll.RiskOutput()+'WW CC grad r'!B11*'WW CC grad r'!B13</f>
        <v>#VALUE!</v>
      </c>
      <c r="BVM2" s="2">
        <f>'WW CC grad r'!$C$15</f>
        <v>236094.219312</v>
      </c>
      <c r="BVN2" t="e">
        <f ca="1">_xll.RiskOutput()+'WW CC grad r'!C11*'WW CC grad r'!C13</f>
        <v>#VALUE!</v>
      </c>
      <c r="BVO2" s="2">
        <f>'WW CC grad r'!$D$15</f>
        <v>231894.219312</v>
      </c>
      <c r="BVP2" t="e">
        <f ca="1">_xll.RiskOutput()+'WW CC grad r'!D11*'WW CC grad r'!D13</f>
        <v>#VALUE!</v>
      </c>
      <c r="BVQ2" s="2">
        <f>'WW CC grad r'!$E$15</f>
        <v>227694.219312</v>
      </c>
      <c r="BVR2" t="e">
        <f ca="1">_xll.RiskOutput()+'WW CC grad r'!E11*'WW CC grad r'!E13</f>
        <v>#VALUE!</v>
      </c>
      <c r="BVS2" s="2">
        <f>'WW CC grad r'!$F$15</f>
        <v>236094.219312</v>
      </c>
      <c r="BVT2" t="e">
        <f ca="1">_xll.RiskOutput()+'WW CC grad r'!F11*'WW CC grad r'!F13</f>
        <v>#VALUE!</v>
      </c>
      <c r="BVU2" s="2">
        <f>'WW CC grad r'!$G$15</f>
        <v>227694.219312</v>
      </c>
      <c r="BVV2" t="e">
        <f ca="1">_xll.RiskOutput()+'WW CC grad r'!G11*'WW CC grad r'!G13</f>
        <v>#VALUE!</v>
      </c>
      <c r="BVW2" s="2">
        <f>'WW CC grad r'!$H$15</f>
        <v>236094.219312</v>
      </c>
      <c r="BVX2" t="e">
        <f ca="1">_xll.RiskOutput()+'WW CC grad r'!H11*'WW CC grad r'!H13</f>
        <v>#VALUE!</v>
      </c>
      <c r="BVY2" s="2">
        <f>'WW CC grad r'!$I$15</f>
        <v>227694.219312</v>
      </c>
      <c r="BVZ2" t="e">
        <f ca="1">_xll.RiskOutput()+'WW CC grad r'!I11*'WW CC grad r'!I13</f>
        <v>#VALUE!</v>
      </c>
      <c r="BWA2" s="2">
        <f>'WW CC grad r'!$J$15</f>
        <v>236094.219312</v>
      </c>
      <c r="BWB2" t="e">
        <f ca="1">_xll.RiskOutput()+'WW CC grad r'!J11*'WW CC grad r'!J13</f>
        <v>#VALUE!</v>
      </c>
      <c r="BWC2" s="2">
        <f>'WW CC grad r'!$K$15</f>
        <v>227694.219312</v>
      </c>
      <c r="BWD2" t="e">
        <f ca="1">_xll.RiskOutput()+'WW CC grad r'!K11*'WW CC grad r'!K13</f>
        <v>#VALUE!</v>
      </c>
      <c r="BWE2" s="2">
        <f>'WW CC grad r'!$L$15</f>
        <v>219294.219312</v>
      </c>
      <c r="BWF2" t="e">
        <f ca="1">_xll.RiskOutput()+'WW CC grad r'!L11*'WW CC grad r'!L13</f>
        <v>#VALUE!</v>
      </c>
      <c r="BWG2" s="2">
        <f>'WW CC grad r'!$M$15</f>
        <v>215094.219312</v>
      </c>
      <c r="BWH2" t="e">
        <f ca="1">_xll.RiskOutput()+'WW CC grad r'!M11*'WW CC grad r'!M13</f>
        <v>#VALUE!</v>
      </c>
      <c r="BWI2" s="2">
        <f>'WW CC grad r'!$N$15</f>
        <v>210894.219312</v>
      </c>
      <c r="BWJ2" t="e">
        <f ca="1">_xll.RiskOutput()+'WW CC grad r'!N11*'WW CC grad r'!N13</f>
        <v>#VALUE!</v>
      </c>
      <c r="BWK2" s="2">
        <f>'WW CC grad r'!$O$15</f>
        <v>202494.219312</v>
      </c>
      <c r="BWL2" t="e">
        <f ca="1">_xll.RiskOutput()+'WW CC grad r'!O11*'WW CC grad r'!O13</f>
        <v>#VALUE!</v>
      </c>
      <c r="BWM2" s="2">
        <f>'WW CC grad r'!$P$15</f>
        <v>210894.219312</v>
      </c>
      <c r="BWN2" t="e">
        <f ca="1">_xll.RiskOutput()+'WW CC grad r'!P11*'WW CC grad r'!P13</f>
        <v>#VALUE!</v>
      </c>
      <c r="BWO2" s="2">
        <f>'WW CC grad r'!$Q$15</f>
        <v>241920</v>
      </c>
      <c r="BWP2" t="e">
        <f ca="1">_xll.RiskOutput()+'WW CC grad r'!Q11*'WW CC grad r'!Q13</f>
        <v>#VALUE!</v>
      </c>
      <c r="BWQ2" s="2">
        <f>'WW CC grad r'!$R$15</f>
        <v>235200</v>
      </c>
      <c r="BWR2" t="e">
        <f ca="1">_xll.RiskOutput()+'WW CC grad r'!R11*'WW CC grad r'!R13</f>
        <v>#VALUE!</v>
      </c>
      <c r="BWS2" s="2">
        <f>'WW CC grad r'!$S$15</f>
        <v>243600</v>
      </c>
      <c r="BWT2" t="e">
        <f ca="1">_xll.RiskOutput()+'WW CC grad r'!S11*'WW CC grad r'!S13</f>
        <v>#VALUE!</v>
      </c>
      <c r="BWU2" s="2">
        <f>'WW CC grad r'!$T$15</f>
        <v>252000</v>
      </c>
      <c r="BWV2" t="e">
        <f ca="1">_xll.RiskOutput()+'WW CC grad r'!T11*'WW CC grad r'!T13</f>
        <v>#VALUE!</v>
      </c>
      <c r="BWW2" s="2">
        <f>'WW CC grad r'!$U$15</f>
        <v>260400</v>
      </c>
      <c r="BWX2" t="e">
        <f ca="1">_xll.RiskOutput()+'WW CC grad r'!U11*'WW CC grad r'!U13</f>
        <v>#VALUE!</v>
      </c>
      <c r="BWY2" s="2">
        <f>'WW CC grad r'!$V$15</f>
        <v>268800</v>
      </c>
      <c r="BWZ2" t="e">
        <f ca="1">_xll.RiskOutput()+'WW CC grad r'!V11*'WW CC grad r'!V13</f>
        <v>#VALUE!</v>
      </c>
      <c r="BXA2" s="2">
        <f>'WW CC grad r'!$W$15</f>
        <v>281400</v>
      </c>
      <c r="BXB2" t="e">
        <f ca="1">_xll.RiskOutput()+'WW CC grad r'!W11*'WW CC grad r'!W13</f>
        <v>#VALUE!</v>
      </c>
      <c r="BXC2" s="2">
        <f>'WW CC grad r'!$X$15</f>
        <v>294000</v>
      </c>
      <c r="BXD2" t="e">
        <f ca="1">_xll.RiskOutput()+'WW CC grad r'!X11*'WW CC grad r'!X13</f>
        <v>#VALUE!</v>
      </c>
      <c r="BXE2" s="2">
        <f>'WW CC grad r'!$Y$15</f>
        <v>289800</v>
      </c>
      <c r="BXF2" t="e">
        <f ca="1">_xll.RiskOutput()+'WW CC grad r'!Y11*'WW CC grad r'!Y13</f>
        <v>#VALUE!</v>
      </c>
      <c r="BXG2" s="2">
        <f>'WW CC grad r'!$Z$15</f>
        <v>302400</v>
      </c>
      <c r="BXH2" t="e">
        <f ca="1">_xll.RiskOutput()+'WW CC grad r'!Z11*'WW CC grad r'!Z13</f>
        <v>#VALUE!</v>
      </c>
      <c r="BXI2" s="2">
        <f>'WW CC grad r'!$AA$15</f>
        <v>298200</v>
      </c>
      <c r="BXJ2" t="e">
        <f ca="1">_xll.RiskOutput()+'WW CC grad r'!AA11*'WW CC grad r'!AA13</f>
        <v>#VALUE!</v>
      </c>
      <c r="BXK2" s="2">
        <f>'WW CC grad r'!$AB$15</f>
        <v>310800</v>
      </c>
      <c r="BXL2" t="e">
        <f ca="1">_xll.RiskOutput()+'WW CC grad r'!AB11*'WW CC grad r'!AB13</f>
        <v>#VALUE!</v>
      </c>
      <c r="BXM2" s="2">
        <f>'WW CC grad r'!$AC$15</f>
        <v>306600</v>
      </c>
      <c r="BXN2" t="e">
        <f ca="1">_xll.RiskOutput()+'WW CC grad r'!AC11*'WW CC grad r'!AC13</f>
        <v>#VALUE!</v>
      </c>
      <c r="BXO2" s="2">
        <f>'WW CC grad r'!$AD$15</f>
        <v>315000</v>
      </c>
      <c r="BXP2" t="e">
        <f ca="1">_xll.RiskOutput()+'WW CC grad r'!AD11*'WW CC grad r'!AD13</f>
        <v>#VALUE!</v>
      </c>
      <c r="BXQ2" s="2">
        <f>'WW CC grad r'!$AE$15</f>
        <v>313320</v>
      </c>
      <c r="BXR2" t="e">
        <f ca="1">_xll.RiskOutput()+'WW CC grad r'!AE11*'WW CC grad r'!AE13</f>
        <v>#VALUE!</v>
      </c>
      <c r="BXS2" s="2">
        <f>'WW CC grad r'!$AF$15</f>
        <v>311640</v>
      </c>
      <c r="BXT2" t="e">
        <f ca="1">_xll.RiskOutput()+'WW CC grad r'!AF11*'WW CC grad r'!AF13</f>
        <v>#VALUE!</v>
      </c>
      <c r="BXU2" s="2">
        <f>'WW CC grad r'!$B$16</f>
        <v>29094.219312000001</v>
      </c>
      <c r="BXV2" s="2" t="e">
        <f ca="1">_xll.RiskOutput()+'WW CC grad r'!B15-'WW CC grad r'!B12</f>
        <v>#VALUE!</v>
      </c>
      <c r="BXW2" s="2">
        <f>'WW CC grad r'!$C$16</f>
        <v>29094.219312000001</v>
      </c>
      <c r="BXX2" s="2" t="e">
        <f ca="1">_xll.RiskOutput()+'WW CC grad r'!C15-'WW CC grad r'!C12</f>
        <v>#VALUE!</v>
      </c>
      <c r="BXY2" s="2">
        <f>'WW CC grad r'!$D$16</f>
        <v>24894.219312000001</v>
      </c>
      <c r="BXZ2" s="2" t="e">
        <f ca="1">_xll.RiskOutput()+'WW CC grad r'!D15-'WW CC grad r'!D12</f>
        <v>#VALUE!</v>
      </c>
      <c r="BYA2" s="2">
        <f>'WW CC grad r'!$E$16</f>
        <v>20694.219312000001</v>
      </c>
      <c r="BYB2" s="2" t="e">
        <f ca="1">_xll.RiskOutput()+'WW CC grad r'!E15-'WW CC grad r'!E12</f>
        <v>#VALUE!</v>
      </c>
      <c r="BYC2" s="2">
        <f>'WW CC grad r'!$F$16</f>
        <v>29094.219312000001</v>
      </c>
      <c r="BYD2" s="2" t="e">
        <f ca="1">_xll.RiskOutput()+'WW CC grad r'!F15-'WW CC grad r'!F12</f>
        <v>#VALUE!</v>
      </c>
      <c r="BYE2" s="2">
        <f>'WW CC grad r'!$G$16</f>
        <v>20694.219312000001</v>
      </c>
      <c r="BYF2" s="2" t="e">
        <f ca="1">_xll.RiskOutput()+'WW CC grad r'!G15-'WW CC grad r'!G12</f>
        <v>#VALUE!</v>
      </c>
      <c r="BYG2" s="2">
        <f>'WW CC grad r'!$H$16</f>
        <v>29094.219312000001</v>
      </c>
      <c r="BYH2" s="2" t="e">
        <f ca="1">_xll.RiskOutput()+'WW CC grad r'!H15-'WW CC grad r'!H12</f>
        <v>#VALUE!</v>
      </c>
      <c r="BYI2" s="2">
        <f>'WW CC grad r'!$I$16</f>
        <v>20694.219312000001</v>
      </c>
      <c r="BYJ2" s="2" t="e">
        <f ca="1">_xll.RiskOutput()+'WW CC grad r'!I15-'WW CC grad r'!I12</f>
        <v>#VALUE!</v>
      </c>
      <c r="BYK2" s="2">
        <f>'WW CC grad r'!$J$16</f>
        <v>29094.219312000001</v>
      </c>
      <c r="BYL2" s="2" t="e">
        <f ca="1">_xll.RiskOutput()+'WW CC grad r'!J15-'WW CC grad r'!J12</f>
        <v>#VALUE!</v>
      </c>
      <c r="BYM2" s="2">
        <f>'WW CC grad r'!$K$16</f>
        <v>20694.219312000001</v>
      </c>
      <c r="BYN2" s="2" t="e">
        <f ca="1">_xll.RiskOutput()+'WW CC grad r'!K15-'WW CC grad r'!K12</f>
        <v>#VALUE!</v>
      </c>
      <c r="BYO2" s="2">
        <f>'WW CC grad r'!$L$16</f>
        <v>12294.219312000001</v>
      </c>
      <c r="BYP2" s="2" t="e">
        <f ca="1">_xll.RiskOutput()+'WW CC grad r'!L15-'WW CC grad r'!L12</f>
        <v>#VALUE!</v>
      </c>
      <c r="BYQ2" s="2">
        <f>'WW CC grad r'!$M$16</f>
        <v>8094.2193120000011</v>
      </c>
      <c r="BYR2" s="2" t="e">
        <f ca="1">_xll.RiskOutput()+'WW CC grad r'!M15-'WW CC grad r'!M12</f>
        <v>#VALUE!</v>
      </c>
      <c r="BYS2" s="2">
        <f>'WW CC grad r'!$N$16</f>
        <v>3894.2193120000011</v>
      </c>
      <c r="BYT2" s="2" t="e">
        <f ca="1">_xll.RiskOutput()+'WW CC grad r'!N15-'WW CC grad r'!N12</f>
        <v>#VALUE!</v>
      </c>
      <c r="BYU2" s="2">
        <f>'WW CC grad r'!$O$16</f>
        <v>-4505.7806879999989</v>
      </c>
      <c r="BYV2" s="2" t="e">
        <f ca="1">_xll.RiskOutput()+'WW CC grad r'!O15-'WW CC grad r'!O12</f>
        <v>#VALUE!</v>
      </c>
      <c r="BYW2" s="2">
        <f>'WW CC grad r'!$P$16</f>
        <v>3894.2193120000011</v>
      </c>
      <c r="BYX2" s="2" t="e">
        <f ca="1">_xll.RiskOutput()+'WW CC grad r'!P15-'WW CC grad r'!P12</f>
        <v>#VALUE!</v>
      </c>
      <c r="BYY2" s="2">
        <f>'WW CC grad r'!$Q$16</f>
        <v>34920</v>
      </c>
      <c r="BYZ2" s="2" t="e">
        <f ca="1">_xll.RiskOutput()+'WW CC grad r'!Q15-'WW CC grad r'!Q12</f>
        <v>#VALUE!</v>
      </c>
      <c r="BZA2" s="2">
        <f>'WW CC grad r'!$R$16</f>
        <v>28200</v>
      </c>
      <c r="BZB2" s="2" t="e">
        <f ca="1">_xll.RiskOutput()+'WW CC grad r'!R15-'WW CC grad r'!R12</f>
        <v>#VALUE!</v>
      </c>
      <c r="BZC2" s="2">
        <f>'WW CC grad r'!$S$16</f>
        <v>36600</v>
      </c>
      <c r="BZD2" s="2" t="e">
        <f ca="1">_xll.RiskOutput()+'WW CC grad r'!S15-'WW CC grad r'!S12</f>
        <v>#VALUE!</v>
      </c>
      <c r="BZE2" s="2">
        <f>'WW CC grad r'!$T$16</f>
        <v>45000</v>
      </c>
      <c r="BZF2" s="2" t="e">
        <f ca="1">_xll.RiskOutput()+'WW CC grad r'!T15-'WW CC grad r'!T12</f>
        <v>#VALUE!</v>
      </c>
      <c r="BZG2" s="2">
        <f>'WW CC grad r'!$U$16</f>
        <v>53400</v>
      </c>
      <c r="BZH2" s="2" t="e">
        <f ca="1">_xll.RiskOutput()+'WW CC grad r'!U15-'WW CC grad r'!U12</f>
        <v>#VALUE!</v>
      </c>
      <c r="BZI2" s="2">
        <f>'WW CC grad r'!$V$16</f>
        <v>61800</v>
      </c>
      <c r="BZJ2" s="2" t="e">
        <f ca="1">_xll.RiskOutput()+'WW CC grad r'!V15-'WW CC grad r'!V12</f>
        <v>#VALUE!</v>
      </c>
      <c r="BZK2" s="2">
        <f>'WW CC grad r'!$W$16</f>
        <v>74400</v>
      </c>
      <c r="BZL2" s="2" t="e">
        <f ca="1">_xll.RiskOutput()+'WW CC grad r'!W15-'WW CC grad r'!W12</f>
        <v>#VALUE!</v>
      </c>
      <c r="BZM2" s="2">
        <f>'WW CC grad r'!$X$16</f>
        <v>87000</v>
      </c>
      <c r="BZN2" s="2" t="e">
        <f ca="1">_xll.RiskOutput()+'WW CC grad r'!X15-'WW CC grad r'!X12</f>
        <v>#VALUE!</v>
      </c>
      <c r="BZO2" s="2">
        <f>'WW CC grad r'!$Y$16</f>
        <v>82800</v>
      </c>
      <c r="BZP2" s="2" t="e">
        <f ca="1">_xll.RiskOutput()+'WW CC grad r'!Y15-'WW CC grad r'!Y12</f>
        <v>#VALUE!</v>
      </c>
      <c r="BZQ2" s="2">
        <f>'WW CC grad r'!$Z$16</f>
        <v>95400</v>
      </c>
      <c r="BZR2" s="2" t="e">
        <f ca="1">_xll.RiskOutput()+'WW CC grad r'!Z15-'WW CC grad r'!Z12</f>
        <v>#VALUE!</v>
      </c>
      <c r="BZS2" s="2">
        <f>'WW CC grad r'!$AA$16</f>
        <v>91200</v>
      </c>
      <c r="BZT2" s="2" t="e">
        <f ca="1">_xll.RiskOutput()+'WW CC grad r'!AA15-'WW CC grad r'!AA12</f>
        <v>#VALUE!</v>
      </c>
      <c r="BZU2" s="2">
        <f>'WW CC grad r'!$AB$16</f>
        <v>103800</v>
      </c>
      <c r="BZV2" s="2" t="e">
        <f ca="1">_xll.RiskOutput()+'WW CC grad r'!AB15-'WW CC grad r'!AB12</f>
        <v>#VALUE!</v>
      </c>
      <c r="BZW2" s="2">
        <f>'WW CC grad r'!$AC$16</f>
        <v>99600</v>
      </c>
      <c r="BZX2" s="2" t="e">
        <f ca="1">_xll.RiskOutput()+'WW CC grad r'!AC15-'WW CC grad r'!AC12</f>
        <v>#VALUE!</v>
      </c>
      <c r="BZY2" s="2">
        <f>'WW CC grad r'!$AD$16</f>
        <v>108000</v>
      </c>
      <c r="BZZ2" s="2" t="e">
        <f ca="1">_xll.RiskOutput()+'WW CC grad r'!AD15-'WW CC grad r'!AD12</f>
        <v>#VALUE!</v>
      </c>
      <c r="CAA2" s="2">
        <f>'WW CC grad r'!$AE$16</f>
        <v>106320</v>
      </c>
      <c r="CAB2" s="2" t="e">
        <f ca="1">_xll.RiskOutput()+'WW CC grad r'!AE15-'WW CC grad r'!AE12</f>
        <v>#VALUE!</v>
      </c>
      <c r="CAC2" s="2">
        <f>'WW CC grad r'!$AF$16</f>
        <v>104640</v>
      </c>
      <c r="CAD2" s="2" t="e">
        <f ca="1">_xll.RiskOutput()+'WW CC grad r'!AF15-'WW CC grad r'!AF12</f>
        <v>#VALUE!</v>
      </c>
      <c r="CAE2" s="1">
        <f>'WW CC grad r'!$B$20</f>
        <v>815703.00164965005</v>
      </c>
      <c r="CAF2" s="2" t="e">
        <f ca="1">_xll.RiskOutput("NPV")+NPV(3%,'WW CC grad r'!B16:AF16)</f>
        <v>#VALUE!</v>
      </c>
      <c r="CAG2" s="1">
        <f>'WW CC grad r'!$C$20</f>
        <v>811079.87238713994</v>
      </c>
      <c r="CAH2" s="2" t="e">
        <f ca="1">_xll.RiskOutput("NPV")+NPV(3%,'WW CC grad r'!C16:AF16)</f>
        <v>#VALUE!</v>
      </c>
      <c r="CAI2" s="1">
        <f>'WW CC grad r'!$D$20</f>
        <v>806318.04924675403</v>
      </c>
      <c r="CAJ2" s="2" t="e">
        <f ca="1">_xll.RiskOutput("NPV")+NPV(3%,'WW CC grad r'!D16:AF16)</f>
        <v>#VALUE!</v>
      </c>
      <c r="CAK2" s="1">
        <f>'WW CC grad r'!$E$20</f>
        <v>805613.37141215662</v>
      </c>
      <c r="CAL2" s="2" t="e">
        <f ca="1">_xll.RiskOutput("NPV")+NPV(3%,'WW CC grad r'!E16:AF16)</f>
        <v>#VALUE!</v>
      </c>
      <c r="CAM2" s="1">
        <f>'WW CC grad r'!$F$20</f>
        <v>809087.55324252148</v>
      </c>
      <c r="CAN2" s="2" t="e">
        <f ca="1">_xll.RiskOutput("NPV")+NPV(3%,'WW CC grad r'!F16:AF16)</f>
        <v>#VALUE!</v>
      </c>
      <c r="CAO2" s="1">
        <f>'WW CC grad r'!$G$20</f>
        <v>804265.96052779711</v>
      </c>
      <c r="CAP2" s="2" t="e">
        <f ca="1">_xll.RiskOutput("NPV")+NPV(3%,'WW CC grad r'!G16:AF16)</f>
        <v>#VALUE!</v>
      </c>
      <c r="CAQ2" s="1">
        <f>'WW CC grad r'!$H$20</f>
        <v>807699.72003163095</v>
      </c>
      <c r="CAR2" s="2" t="e">
        <f ca="1">_xll.RiskOutput("NPV")+NPV(3%,'WW CC grad r'!H16:AF16)</f>
        <v>#VALUE!</v>
      </c>
      <c r="CAS2" s="1">
        <f>'WW CC grad r'!$I$20</f>
        <v>802836.49232057994</v>
      </c>
      <c r="CAT2" s="2" t="e">
        <f ca="1">_xll.RiskOutput("NPV")+NPV(3%,'WW CC grad r'!I16:AF16)</f>
        <v>#VALUE!</v>
      </c>
      <c r="CAU2" s="1">
        <f>'WW CC grad r'!$J$20</f>
        <v>806227.3677781974</v>
      </c>
      <c r="CAV2" s="2" t="e">
        <f ca="1">_xll.RiskOutput("NPV")+NPV(3%,'WW CC grad r'!J16:AF16)</f>
        <v>#VALUE!</v>
      </c>
      <c r="CAW2" s="1">
        <f>'WW CC grad r'!$K$20</f>
        <v>801319.96949954319</v>
      </c>
      <c r="CAX2" s="2" t="e">
        <f ca="1">_xll.RiskOutput("NPV")+NPV(3%,'WW CC grad r'!K16:AF16)</f>
        <v>#VALUE!</v>
      </c>
      <c r="CAY2" s="1">
        <f>'WW CC grad r'!$L$20</f>
        <v>804665.34927252971</v>
      </c>
      <c r="CAZ2" s="2" t="e">
        <f ca="1">_xll.RiskOutput("NPV")+NPV(3%,'WW CC grad r'!L16:AO16)</f>
        <v>#VALUE!</v>
      </c>
      <c r="CBA2" s="1">
        <f>'WW CC grad r'!$M$20</f>
        <v>816511.09043870552</v>
      </c>
      <c r="CBB2" s="2" t="e">
        <f ca="1">_xll.RiskOutput("NPV")+NPV(3%,'WW CC grad r'!M16:AP16)</f>
        <v>#VALUE!</v>
      </c>
      <c r="CBC2" s="1">
        <f>'WW CC grad r'!$N$20</f>
        <v>832912.20383986679</v>
      </c>
      <c r="CBD2" s="2" t="e">
        <f ca="1">_xll.RiskOutput("NPV")+NPV(3%,'WW CC grad r'!N16:AQ16)</f>
        <v>#VALUE!</v>
      </c>
      <c r="CBE2" s="1">
        <f>'WW CC grad r'!$O$20</f>
        <v>854005.35064306285</v>
      </c>
      <c r="CBF2" s="2" t="e">
        <f ca="1">_xll.RiskOutput("NPV")+NPV(3%,'WW CC grad r'!O16:AR16)</f>
        <v>#VALUE!</v>
      </c>
      <c r="CBG2" s="1">
        <f>'WW CC grad r'!$P$20</f>
        <v>884131.29185035476</v>
      </c>
      <c r="CBH2" s="2" t="e">
        <f ca="1">_xll.RiskOutput("NPV")+NPV(3%,'WW CC grad r'!P16:AS16)</f>
        <v>#VALUE!</v>
      </c>
      <c r="CBI2" s="1">
        <f>'WW CC grad r'!$Q$20</f>
        <v>906761.01129386527</v>
      </c>
      <c r="CBJ2" s="2" t="e">
        <f ca="1">_xll.RiskOutput("NPV")+NPV(3%,'WW CC grad r'!Q16:AT16)</f>
        <v>#VALUE!</v>
      </c>
      <c r="CBK2" s="1">
        <f>'WW CC grad r'!$R$20</f>
        <v>899043.84163268143</v>
      </c>
      <c r="CBL2" s="2" t="e">
        <f ca="1">_xll.RiskOutput("NPV")+NPV(3%,'WW CC grad r'!R16:AU16)</f>
        <v>#VALUE!</v>
      </c>
      <c r="CBM2" s="1">
        <f>'WW CC grad r'!$S$20</f>
        <v>897815.15688166197</v>
      </c>
      <c r="CBN2" s="2" t="e">
        <f ca="1">_xll.RiskOutput("NPV")+NPV(3%,'WW CC grad r'!S16:AV16)</f>
        <v>#VALUE!</v>
      </c>
      <c r="CBO2" s="1">
        <f>'WW CC grad r'!$T$20</f>
        <v>888149.61158811161</v>
      </c>
      <c r="CBP2" s="2" t="e">
        <f ca="1">_xll.RiskOutput("NPV")+NPV(3%,'WW CC grad r'!T16:AW16)</f>
        <v>#VALUE!</v>
      </c>
      <c r="CBQ2" s="1">
        <f>'WW CC grad r'!$U$20</f>
        <v>869794.09993575513</v>
      </c>
      <c r="CBR2" s="2" t="e">
        <f ca="1">_xll.RiskOutput("NPV")+NPV(3%,'WW CC grad r'!U16:AX16)</f>
        <v>#VALUE!</v>
      </c>
      <c r="CBS2" s="1">
        <f>'WW CC grad r'!$V$20</f>
        <v>842487.92293382774</v>
      </c>
      <c r="CBT2" s="2" t="e">
        <f ca="1">_xll.RiskOutput("NPV")+NPV(3%,'WW CC grad r'!V16:AY16)</f>
        <v>#VALUE!</v>
      </c>
      <c r="CBU2" s="1">
        <f>'WW CC grad r'!$W$20</f>
        <v>805962.56062184263</v>
      </c>
      <c r="CBV2" s="2" t="e">
        <f ca="1">_xll.RiskOutput("NPV")+NPV(3%,'WW CC grad r'!W16:AZ16)</f>
        <v>#VALUE!</v>
      </c>
      <c r="CBW2" s="1">
        <f>'WW CC grad r'!$X$20</f>
        <v>755741.4374404978</v>
      </c>
      <c r="CBX2" s="2" t="e">
        <f ca="1">_xll.RiskOutput("NPV")+NPV(3%,'WW CC grad r'!X16:BA16)</f>
        <v>#VALUE!</v>
      </c>
      <c r="CBY2" s="1">
        <f>'WW CC grad r'!$Y$20</f>
        <v>691413.68056371296</v>
      </c>
      <c r="CBZ2" s="2" t="e">
        <f ca="1">_xll.RiskOutput("NPV")+NPV(3%,'WW CC grad r'!Y16:BB16)</f>
        <v>#VALUE!</v>
      </c>
      <c r="CCA2" s="1">
        <f>'WW CC grad r'!$Z$20</f>
        <v>629356.09098062431</v>
      </c>
      <c r="CCB2" s="2" t="e">
        <f ca="1">_xll.RiskOutput("NPV")+NPV(3%,'WW CC grad r'!Z16:BC16)</f>
        <v>#VALUE!</v>
      </c>
      <c r="CCC2" s="1">
        <f>'WW CC grad r'!$AA$20</f>
        <v>552836.77371004305</v>
      </c>
      <c r="CCD2" s="2" t="e">
        <f ca="1">_xll.RiskOutput("NPV")+NPV(3%,'WW CC grad r'!AA16:BD16)</f>
        <v>#VALUE!</v>
      </c>
      <c r="CCE2" s="1">
        <f>'WW CC grad r'!$AB$20</f>
        <v>478221.87692134432</v>
      </c>
      <c r="CCF2" s="2" t="e">
        <f ca="1">_xll.RiskOutput("NPV")+NPV(3%,'WW CC grad r'!AB16:BE16)</f>
        <v>#VALUE!</v>
      </c>
      <c r="CCG2" s="1">
        <f>'WW CC grad r'!$AC$20</f>
        <v>388768.53322898463</v>
      </c>
      <c r="CCH2" s="2" t="e">
        <f ca="1">_xll.RiskOutput("NPV")+NPV(3%,'WW CC grad r'!AC16:BF16)</f>
        <v>#VALUE!</v>
      </c>
      <c r="CCI2" s="1">
        <f>'WW CC grad r'!$AD$20</f>
        <v>300831.58922585426</v>
      </c>
      <c r="CCJ2" s="2" t="e">
        <f ca="1">_xll.RiskOutput("NPV")+NPV(3%,'WW CC grad r'!AD16:BG16)</f>
        <v>#VALUE!</v>
      </c>
      <c r="CCK2" s="1">
        <f>'WW CC grad r'!$AE$20</f>
        <v>201856.53690262986</v>
      </c>
      <c r="CCL2" s="2" t="e">
        <f ca="1">_xll.RiskOutput("NPV")+NPV(3%,'WW CC grad r'!AE16:BH16)</f>
        <v>#VALUE!</v>
      </c>
      <c r="CCM2" s="1">
        <f>'WW CC grad r'!$AF$20</f>
        <v>101592.23300970874</v>
      </c>
      <c r="CCN2" s="2" t="e">
        <f ca="1">_xll.RiskOutput("NPV")+NPV(3%,'WW CC grad r'!AF16:BI16)</f>
        <v>#VALUE!</v>
      </c>
      <c r="CCO2" s="1">
        <f>Sheet2!$C$5</f>
        <v>840989.68973188393</v>
      </c>
      <c r="CCP2" s="1" t="e">
        <f ca="1">_xll.RiskOutput() + 'SW CC grad'!B19</f>
        <v>#VALUE!</v>
      </c>
      <c r="CCQ2" s="1">
        <f>Sheet2!$D$5</f>
        <v>608234.78805349965</v>
      </c>
      <c r="CCR2" s="1" t="e">
        <f ca="1">_xll.RiskOutput() + 'SW SF grad'!B19</f>
        <v>#VALUE!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AD47"/>
  <sheetViews>
    <sheetView tabSelected="1" zoomScale="90" zoomScaleNormal="90" workbookViewId="0">
      <selection activeCell="O50" sqref="O50"/>
    </sheetView>
  </sheetViews>
  <sheetFormatPr defaultRowHeight="15" x14ac:dyDescent="0.25"/>
  <cols>
    <col min="27" max="27" width="9.5703125" bestFit="1" customWidth="1"/>
    <col min="28" max="30" width="10.5703125" bestFit="1" customWidth="1"/>
  </cols>
  <sheetData>
    <row r="1" spans="15:30" x14ac:dyDescent="0.25">
      <c r="O1" s="17" t="s">
        <v>102</v>
      </c>
      <c r="V1" s="17" t="s">
        <v>113</v>
      </c>
      <c r="Z1" s="17"/>
    </row>
    <row r="2" spans="15:30" ht="105" x14ac:dyDescent="0.25">
      <c r="O2" s="25" t="s">
        <v>30</v>
      </c>
      <c r="P2" s="13" t="s">
        <v>95</v>
      </c>
      <c r="Q2" s="14" t="s">
        <v>111</v>
      </c>
      <c r="R2" s="14" t="s">
        <v>110</v>
      </c>
      <c r="S2" s="14" t="s">
        <v>96</v>
      </c>
      <c r="T2" s="13" t="s">
        <v>112</v>
      </c>
      <c r="V2" s="14"/>
      <c r="W2" s="14" t="s">
        <v>97</v>
      </c>
      <c r="X2" s="14" t="s">
        <v>31</v>
      </c>
      <c r="Z2" s="14"/>
      <c r="AA2" s="14"/>
      <c r="AB2" s="14"/>
      <c r="AC2" s="14"/>
      <c r="AD2" s="14"/>
    </row>
    <row r="3" spans="15:30" ht="60" x14ac:dyDescent="0.25">
      <c r="O3" s="25" t="s">
        <v>32</v>
      </c>
      <c r="P3" s="13" t="s">
        <v>33</v>
      </c>
      <c r="Q3" s="13" t="s">
        <v>33</v>
      </c>
      <c r="R3" s="14" t="s">
        <v>98</v>
      </c>
      <c r="S3" s="14" t="s">
        <v>98</v>
      </c>
      <c r="U3" s="13"/>
      <c r="V3" s="14"/>
      <c r="W3" s="14"/>
      <c r="X3" s="14"/>
      <c r="Z3" s="14"/>
      <c r="AA3" s="14"/>
      <c r="AB3" s="14"/>
      <c r="AC3" s="14"/>
      <c r="AD3" s="14"/>
    </row>
    <row r="4" spans="15:30" x14ac:dyDescent="0.25">
      <c r="O4">
        <v>1975</v>
      </c>
      <c r="P4" s="15">
        <v>22.1</v>
      </c>
      <c r="Q4" s="15">
        <v>32.299999999999997</v>
      </c>
      <c r="R4" s="15">
        <v>39</v>
      </c>
      <c r="S4" s="15">
        <v>13</v>
      </c>
      <c r="T4" s="19">
        <f>S4/R4</f>
        <v>0.33333333333333331</v>
      </c>
      <c r="U4" s="19"/>
      <c r="V4">
        <v>1975</v>
      </c>
      <c r="W4" s="15">
        <v>3.96</v>
      </c>
      <c r="X4" s="15">
        <v>3.34</v>
      </c>
    </row>
    <row r="5" spans="15:30" x14ac:dyDescent="0.25">
      <c r="O5">
        <v>1976</v>
      </c>
      <c r="P5" s="15">
        <v>14.4</v>
      </c>
      <c r="Q5" s="15">
        <v>18.2</v>
      </c>
      <c r="R5" s="15">
        <v>33</v>
      </c>
      <c r="S5" s="15">
        <v>35</v>
      </c>
      <c r="T5" s="19">
        <f t="shared" ref="T5:T40" si="0">S5/R5</f>
        <v>1.0606060606060606</v>
      </c>
      <c r="U5" s="19"/>
      <c r="V5">
        <v>1976</v>
      </c>
      <c r="W5" s="15">
        <v>3.71</v>
      </c>
      <c r="X5" s="15">
        <v>2.3199999999999998</v>
      </c>
    </row>
    <row r="6" spans="15:30" x14ac:dyDescent="0.25">
      <c r="O6">
        <v>1977</v>
      </c>
      <c r="P6" s="15">
        <v>7.4</v>
      </c>
      <c r="Q6" s="15">
        <v>9.3000000000000007</v>
      </c>
      <c r="R6" s="15">
        <v>27</v>
      </c>
      <c r="S6" s="15">
        <v>47</v>
      </c>
      <c r="T6" s="19">
        <f t="shared" si="0"/>
        <v>1.7407407407407407</v>
      </c>
      <c r="U6" s="19"/>
      <c r="V6">
        <v>1977</v>
      </c>
      <c r="W6" s="15">
        <v>4.1900000000000004</v>
      </c>
      <c r="X6" s="15">
        <v>2.73</v>
      </c>
    </row>
    <row r="7" spans="15:30" x14ac:dyDescent="0.25">
      <c r="O7">
        <v>1978</v>
      </c>
      <c r="P7" s="15">
        <v>21.6</v>
      </c>
      <c r="Q7" s="15">
        <v>31.8</v>
      </c>
      <c r="R7" s="15">
        <v>42</v>
      </c>
      <c r="S7" s="15">
        <v>28</v>
      </c>
      <c r="T7" s="19">
        <f t="shared" si="0"/>
        <v>0.66666666666666663</v>
      </c>
      <c r="U7" s="19"/>
      <c r="V7">
        <v>1978</v>
      </c>
      <c r="W7" s="15">
        <v>5.23</v>
      </c>
      <c r="X7" s="15">
        <v>3.58</v>
      </c>
    </row>
    <row r="8" spans="15:30" x14ac:dyDescent="0.25">
      <c r="O8">
        <v>1979</v>
      </c>
      <c r="P8" s="15">
        <v>15.8</v>
      </c>
      <c r="Q8" s="15">
        <v>27.3</v>
      </c>
      <c r="R8" s="15">
        <v>32</v>
      </c>
      <c r="S8" s="15">
        <v>15</v>
      </c>
      <c r="T8" s="19">
        <f t="shared" si="0"/>
        <v>0.46875</v>
      </c>
      <c r="U8" s="19"/>
      <c r="V8">
        <v>1979</v>
      </c>
      <c r="W8" s="15">
        <v>5.85</v>
      </c>
      <c r="X8" s="15">
        <v>4.0199999999999996</v>
      </c>
    </row>
    <row r="9" spans="15:30" x14ac:dyDescent="0.25">
      <c r="O9">
        <v>1980</v>
      </c>
      <c r="P9" s="15">
        <v>7.8</v>
      </c>
      <c r="Q9" s="15">
        <v>16.2</v>
      </c>
      <c r="R9" s="15">
        <v>30</v>
      </c>
      <c r="S9" s="15">
        <v>16</v>
      </c>
      <c r="T9" s="19">
        <f t="shared" si="0"/>
        <v>0.53333333333333333</v>
      </c>
      <c r="U9" s="19"/>
      <c r="V9">
        <v>1980</v>
      </c>
      <c r="W9" s="15">
        <v>5.19</v>
      </c>
      <c r="X9" s="15">
        <v>3.65</v>
      </c>
    </row>
    <row r="10" spans="15:30" x14ac:dyDescent="0.25">
      <c r="O10">
        <v>1981</v>
      </c>
      <c r="P10" s="15">
        <v>23</v>
      </c>
      <c r="Q10" s="15">
        <v>28.4</v>
      </c>
      <c r="R10" s="15">
        <v>19</v>
      </c>
      <c r="S10" s="15">
        <v>32</v>
      </c>
      <c r="T10" s="19">
        <f t="shared" si="0"/>
        <v>1.6842105263157894</v>
      </c>
      <c r="U10" s="19"/>
      <c r="V10">
        <v>1981</v>
      </c>
      <c r="W10" s="15">
        <v>4.83</v>
      </c>
      <c r="X10" s="15">
        <v>3.55</v>
      </c>
    </row>
    <row r="11" spans="15:30" x14ac:dyDescent="0.25">
      <c r="O11">
        <v>1982</v>
      </c>
      <c r="P11" s="15">
        <v>26.5</v>
      </c>
      <c r="Q11" s="15">
        <v>30.6</v>
      </c>
      <c r="R11" s="15">
        <v>36</v>
      </c>
      <c r="S11" s="15">
        <v>30</v>
      </c>
      <c r="T11" s="19">
        <f t="shared" si="0"/>
        <v>0.83333333333333337</v>
      </c>
      <c r="U11" s="19"/>
      <c r="V11">
        <v>1982</v>
      </c>
      <c r="W11" s="15">
        <v>4.9400000000000004</v>
      </c>
      <c r="X11" s="15">
        <v>3.57</v>
      </c>
    </row>
    <row r="12" spans="15:30" x14ac:dyDescent="0.25">
      <c r="O12">
        <v>1983</v>
      </c>
      <c r="P12" s="15">
        <v>19.3</v>
      </c>
      <c r="Q12" s="15">
        <v>28.2</v>
      </c>
      <c r="R12" s="15">
        <v>34</v>
      </c>
      <c r="S12" s="15">
        <v>34</v>
      </c>
      <c r="T12" s="19">
        <f t="shared" si="0"/>
        <v>1</v>
      </c>
      <c r="U12" s="19"/>
      <c r="V12">
        <v>1983</v>
      </c>
      <c r="W12" s="15">
        <v>4.5999999999999996</v>
      </c>
      <c r="X12" s="15">
        <v>3.43</v>
      </c>
    </row>
    <row r="13" spans="15:30" x14ac:dyDescent="0.25">
      <c r="O13">
        <v>1984</v>
      </c>
      <c r="P13" s="15">
        <v>24.8</v>
      </c>
      <c r="Q13" s="15">
        <v>25.2</v>
      </c>
      <c r="R13" s="15">
        <v>30</v>
      </c>
      <c r="S13" s="15">
        <v>36</v>
      </c>
      <c r="T13" s="19">
        <f t="shared" si="0"/>
        <v>1.2</v>
      </c>
      <c r="U13" s="19"/>
      <c r="V13">
        <v>1984</v>
      </c>
      <c r="W13" s="15">
        <v>4.34</v>
      </c>
      <c r="X13" s="15">
        <v>3.28</v>
      </c>
    </row>
    <row r="14" spans="15:30" x14ac:dyDescent="0.25">
      <c r="O14">
        <v>1985</v>
      </c>
      <c r="P14" s="15">
        <v>21.4</v>
      </c>
      <c r="Q14" s="15">
        <v>29.9</v>
      </c>
      <c r="R14" s="15">
        <v>34</v>
      </c>
      <c r="S14" s="15">
        <v>41</v>
      </c>
      <c r="T14" s="19">
        <f t="shared" si="0"/>
        <v>1.2058823529411764</v>
      </c>
      <c r="U14" s="19"/>
      <c r="V14">
        <v>1985</v>
      </c>
      <c r="W14" s="15">
        <v>3.17</v>
      </c>
      <c r="X14" s="15">
        <v>2.39</v>
      </c>
    </row>
    <row r="15" spans="15:30" x14ac:dyDescent="0.25">
      <c r="O15">
        <v>1986</v>
      </c>
      <c r="P15" s="15">
        <v>14.5</v>
      </c>
      <c r="Q15" s="15">
        <v>30.3</v>
      </c>
      <c r="R15" s="15">
        <v>32</v>
      </c>
      <c r="S15" s="15">
        <v>37</v>
      </c>
      <c r="T15" s="19">
        <f t="shared" si="0"/>
        <v>1.15625</v>
      </c>
      <c r="U15" s="19"/>
      <c r="V15">
        <v>1986</v>
      </c>
      <c r="W15" s="15">
        <v>3.2</v>
      </c>
      <c r="X15" s="15">
        <v>2.66</v>
      </c>
    </row>
    <row r="16" spans="15:30" x14ac:dyDescent="0.25">
      <c r="O16">
        <v>1987</v>
      </c>
      <c r="P16" s="15">
        <v>21.1</v>
      </c>
      <c r="Q16" s="15">
        <v>29.5</v>
      </c>
      <c r="R16" s="15">
        <v>27</v>
      </c>
      <c r="S16" s="15">
        <v>49</v>
      </c>
      <c r="T16" s="19">
        <f t="shared" si="0"/>
        <v>1.8148148148148149</v>
      </c>
      <c r="U16" s="19"/>
      <c r="V16">
        <v>1987</v>
      </c>
      <c r="W16" s="15">
        <v>4.4800000000000004</v>
      </c>
      <c r="X16" s="15">
        <v>3.86</v>
      </c>
    </row>
    <row r="17" spans="15:30" x14ac:dyDescent="0.25">
      <c r="O17">
        <v>1988</v>
      </c>
      <c r="P17" s="15">
        <v>3.9</v>
      </c>
      <c r="Q17" s="15">
        <v>6.6</v>
      </c>
      <c r="R17" s="15">
        <v>27</v>
      </c>
      <c r="S17" s="15">
        <v>38</v>
      </c>
      <c r="T17" s="19">
        <f t="shared" si="0"/>
        <v>1.4074074074074074</v>
      </c>
      <c r="U17" s="19"/>
      <c r="V17">
        <v>1988</v>
      </c>
      <c r="W17" s="15">
        <v>4.1500000000000004</v>
      </c>
      <c r="X17" s="15">
        <v>3.73</v>
      </c>
    </row>
    <row r="18" spans="15:30" x14ac:dyDescent="0.25">
      <c r="O18">
        <v>1989</v>
      </c>
      <c r="P18" s="15">
        <v>8.9</v>
      </c>
      <c r="Q18" s="15">
        <v>15</v>
      </c>
      <c r="R18" s="15">
        <v>24</v>
      </c>
      <c r="S18" s="15">
        <v>43</v>
      </c>
      <c r="T18" s="19">
        <f t="shared" si="0"/>
        <v>1.7916666666666667</v>
      </c>
      <c r="U18" s="19"/>
      <c r="V18">
        <v>1989</v>
      </c>
      <c r="W18" s="15">
        <v>2.92</v>
      </c>
      <c r="X18" s="15">
        <v>2.5299999999999998</v>
      </c>
    </row>
    <row r="19" spans="15:30" x14ac:dyDescent="0.25">
      <c r="O19">
        <v>1990</v>
      </c>
      <c r="P19" s="15">
        <v>28</v>
      </c>
      <c r="Q19" s="15">
        <v>33.299999999999997</v>
      </c>
      <c r="R19" s="15">
        <v>20</v>
      </c>
      <c r="S19" s="15">
        <v>41</v>
      </c>
      <c r="T19" s="19">
        <f t="shared" si="0"/>
        <v>2.0499999999999998</v>
      </c>
      <c r="U19" s="19"/>
      <c r="V19">
        <v>1990</v>
      </c>
      <c r="W19" s="15">
        <v>3.54</v>
      </c>
      <c r="X19" s="15">
        <v>3.13</v>
      </c>
    </row>
    <row r="20" spans="15:30" x14ac:dyDescent="0.25">
      <c r="O20">
        <v>1991</v>
      </c>
      <c r="P20" s="15">
        <v>26.7</v>
      </c>
      <c r="Q20" s="15">
        <v>30.7</v>
      </c>
      <c r="R20" s="15">
        <v>34</v>
      </c>
      <c r="S20" s="15">
        <v>29</v>
      </c>
      <c r="T20" s="19">
        <f t="shared" si="0"/>
        <v>0.8529411764705882</v>
      </c>
      <c r="U20" s="19"/>
      <c r="V20">
        <v>1991</v>
      </c>
      <c r="W20" s="15">
        <v>3.52</v>
      </c>
      <c r="X20" s="15">
        <v>3.29</v>
      </c>
    </row>
    <row r="21" spans="15:30" x14ac:dyDescent="0.25">
      <c r="O21">
        <v>1992</v>
      </c>
      <c r="P21" s="15">
        <v>26.5</v>
      </c>
      <c r="Q21" s="15">
        <v>43</v>
      </c>
      <c r="R21" s="15">
        <v>20</v>
      </c>
      <c r="S21" s="15">
        <v>33</v>
      </c>
      <c r="T21" s="19">
        <f t="shared" si="0"/>
        <v>1.65</v>
      </c>
      <c r="U21" s="19"/>
      <c r="V21">
        <v>1992</v>
      </c>
      <c r="W21" s="15">
        <v>3.68</v>
      </c>
      <c r="X21" s="15">
        <v>3.26</v>
      </c>
    </row>
    <row r="22" spans="15:30" x14ac:dyDescent="0.25">
      <c r="O22">
        <v>1993</v>
      </c>
      <c r="P22" s="15">
        <v>29.5</v>
      </c>
      <c r="Q22" s="15">
        <v>33</v>
      </c>
      <c r="R22" s="15">
        <v>24</v>
      </c>
      <c r="S22" s="15">
        <v>31</v>
      </c>
      <c r="T22" s="19">
        <f t="shared" si="0"/>
        <v>1.2916666666666667</v>
      </c>
      <c r="U22" s="19"/>
      <c r="V22">
        <v>1993</v>
      </c>
      <c r="W22" s="15">
        <v>3.43</v>
      </c>
      <c r="X22" s="15">
        <v>3.45</v>
      </c>
    </row>
    <row r="23" spans="15:30" x14ac:dyDescent="0.25">
      <c r="O23">
        <v>1994</v>
      </c>
      <c r="P23" s="15">
        <v>33.4</v>
      </c>
      <c r="Q23" s="15">
        <v>34.200000000000003</v>
      </c>
      <c r="R23" s="15">
        <v>28</v>
      </c>
      <c r="S23" s="15">
        <v>17</v>
      </c>
      <c r="T23" s="19">
        <f t="shared" si="0"/>
        <v>0.6071428571428571</v>
      </c>
      <c r="U23" s="19"/>
      <c r="V23">
        <v>1994</v>
      </c>
      <c r="W23" s="15">
        <v>4.49</v>
      </c>
      <c r="X23" s="15">
        <v>4.62</v>
      </c>
    </row>
    <row r="24" spans="15:30" x14ac:dyDescent="0.25">
      <c r="O24">
        <v>1995</v>
      </c>
      <c r="P24">
        <v>20.3</v>
      </c>
      <c r="Q24" s="27">
        <v>23.5</v>
      </c>
      <c r="R24" s="27">
        <v>34</v>
      </c>
      <c r="S24" s="27">
        <v>30</v>
      </c>
      <c r="T24" s="19">
        <f t="shared" si="0"/>
        <v>0.88235294117647056</v>
      </c>
      <c r="U24" s="19"/>
      <c r="V24">
        <v>1995</v>
      </c>
      <c r="W24" s="27">
        <v>4.05</v>
      </c>
      <c r="X24" s="27">
        <v>4.24</v>
      </c>
      <c r="Z24" s="3"/>
      <c r="AA24" s="18"/>
      <c r="AB24" s="18"/>
      <c r="AC24" s="18"/>
      <c r="AD24" s="18"/>
    </row>
    <row r="25" spans="15:30" x14ac:dyDescent="0.25">
      <c r="O25">
        <v>1996</v>
      </c>
      <c r="P25">
        <v>24.6</v>
      </c>
      <c r="Q25" s="16">
        <f>AVERAGE(Q4:Q24)</f>
        <v>26.5</v>
      </c>
      <c r="R25" s="16">
        <f>AVERAGE(R4:R24)</f>
        <v>29.80952380952381</v>
      </c>
      <c r="S25" s="16">
        <f>AVERAGE(S4:S24)</f>
        <v>32.142857142857146</v>
      </c>
      <c r="T25" s="19">
        <f t="shared" si="0"/>
        <v>1.0782747603833867</v>
      </c>
      <c r="U25" s="19"/>
      <c r="V25">
        <v>1996</v>
      </c>
      <c r="W25" s="27">
        <v>4.3</v>
      </c>
      <c r="X25">
        <v>3.4</v>
      </c>
      <c r="Z25" s="3"/>
      <c r="AA25" s="5"/>
      <c r="AB25" s="5"/>
      <c r="AC25" s="5"/>
      <c r="AD25" s="5"/>
    </row>
    <row r="26" spans="15:30" x14ac:dyDescent="0.25">
      <c r="O26">
        <v>1997</v>
      </c>
      <c r="P26">
        <v>18.899999999999999</v>
      </c>
      <c r="Q26">
        <f>P26+6.5</f>
        <v>25.4</v>
      </c>
      <c r="R26">
        <f>P26+10</f>
        <v>28.9</v>
      </c>
      <c r="S26">
        <f>R26+2.5</f>
        <v>31.4</v>
      </c>
      <c r="T26" s="19">
        <f t="shared" si="0"/>
        <v>1.0865051903114187</v>
      </c>
      <c r="U26" s="19"/>
      <c r="V26">
        <v>1997</v>
      </c>
      <c r="W26" s="27">
        <v>2.8</v>
      </c>
      <c r="X26">
        <v>2.8</v>
      </c>
      <c r="Z26" s="3"/>
      <c r="AA26" s="5"/>
      <c r="AB26" s="5"/>
      <c r="AC26" s="5"/>
      <c r="AD26" s="5"/>
    </row>
    <row r="27" spans="15:30" x14ac:dyDescent="0.25">
      <c r="O27">
        <v>1998</v>
      </c>
      <c r="P27">
        <v>25.4</v>
      </c>
      <c r="Q27">
        <f t="shared" ref="Q27:Q40" si="1">P27+6.5</f>
        <v>31.9</v>
      </c>
      <c r="R27">
        <f t="shared" ref="R27:R36" si="2">P27+10</f>
        <v>35.4</v>
      </c>
      <c r="S27">
        <f t="shared" ref="S27:S40" si="3">R27+2.5</f>
        <v>37.9</v>
      </c>
      <c r="T27" s="19">
        <f t="shared" si="0"/>
        <v>1.0706214689265536</v>
      </c>
      <c r="U27" s="19"/>
      <c r="V27">
        <v>1998</v>
      </c>
      <c r="W27" s="27">
        <v>3.1</v>
      </c>
      <c r="X27">
        <v>2.67</v>
      </c>
      <c r="Z27" s="3"/>
      <c r="AA27" s="5"/>
      <c r="AB27" s="5"/>
      <c r="AC27" s="5"/>
      <c r="AD27" s="5"/>
    </row>
    <row r="28" spans="15:30" x14ac:dyDescent="0.25">
      <c r="O28">
        <v>1999</v>
      </c>
      <c r="P28">
        <v>18.899999999999999</v>
      </c>
      <c r="Q28">
        <f t="shared" si="1"/>
        <v>25.4</v>
      </c>
      <c r="R28">
        <f t="shared" si="2"/>
        <v>28.9</v>
      </c>
      <c r="S28">
        <f t="shared" si="3"/>
        <v>31.4</v>
      </c>
      <c r="T28" s="19">
        <f t="shared" si="0"/>
        <v>1.0865051903114187</v>
      </c>
      <c r="U28" s="19"/>
      <c r="V28">
        <v>1999</v>
      </c>
      <c r="W28" s="27">
        <v>2.8</v>
      </c>
      <c r="X28">
        <v>2.87</v>
      </c>
      <c r="Z28" s="3"/>
      <c r="AA28" s="5"/>
      <c r="AB28" s="5"/>
      <c r="AC28" s="5"/>
      <c r="AD28" s="5"/>
    </row>
    <row r="29" spans="15:30" x14ac:dyDescent="0.25">
      <c r="O29">
        <v>2000</v>
      </c>
      <c r="P29">
        <v>27.7</v>
      </c>
      <c r="Q29">
        <f t="shared" si="1"/>
        <v>34.200000000000003</v>
      </c>
      <c r="R29">
        <f t="shared" si="2"/>
        <v>37.700000000000003</v>
      </c>
      <c r="S29">
        <f t="shared" si="3"/>
        <v>40.200000000000003</v>
      </c>
      <c r="T29" s="19">
        <f t="shared" si="0"/>
        <v>1.0663129973474801</v>
      </c>
      <c r="U29" s="19"/>
      <c r="V29">
        <v>2000</v>
      </c>
      <c r="W29">
        <v>3.8</v>
      </c>
      <c r="X29">
        <v>3.07</v>
      </c>
      <c r="Z29" s="3"/>
      <c r="AA29" s="5"/>
      <c r="AB29" s="5"/>
      <c r="AC29" s="5"/>
      <c r="AD29" s="5"/>
    </row>
    <row r="30" spans="15:30" x14ac:dyDescent="0.25">
      <c r="O30">
        <v>2001</v>
      </c>
      <c r="P30">
        <v>25.3</v>
      </c>
      <c r="Q30">
        <f t="shared" si="1"/>
        <v>31.8</v>
      </c>
      <c r="R30">
        <f t="shared" si="2"/>
        <v>35.299999999999997</v>
      </c>
      <c r="S30">
        <f t="shared" si="3"/>
        <v>37.799999999999997</v>
      </c>
      <c r="T30" s="19">
        <f t="shared" si="0"/>
        <v>1.0708215297450425</v>
      </c>
      <c r="U30" s="19"/>
      <c r="V30">
        <v>2001</v>
      </c>
      <c r="W30" s="27">
        <v>3.6</v>
      </c>
      <c r="X30">
        <v>3.73</v>
      </c>
      <c r="Z30" s="3"/>
      <c r="AA30" s="5"/>
      <c r="AB30" s="5"/>
      <c r="AC30" s="5"/>
      <c r="AD30" s="5"/>
    </row>
    <row r="31" spans="15:30" x14ac:dyDescent="0.25">
      <c r="O31">
        <v>2002</v>
      </c>
      <c r="P31">
        <v>28.7</v>
      </c>
      <c r="Q31">
        <f t="shared" si="1"/>
        <v>35.200000000000003</v>
      </c>
      <c r="R31">
        <f t="shared" si="2"/>
        <v>38.700000000000003</v>
      </c>
      <c r="S31">
        <f t="shared" si="3"/>
        <v>41.2</v>
      </c>
      <c r="T31" s="19">
        <f t="shared" si="0"/>
        <v>1.0645994832041343</v>
      </c>
      <c r="U31" s="19"/>
      <c r="V31">
        <v>2002</v>
      </c>
      <c r="W31">
        <v>4.05</v>
      </c>
      <c r="X31">
        <v>3.56</v>
      </c>
      <c r="Z31" s="3"/>
      <c r="AA31" s="5"/>
      <c r="AB31" s="5"/>
      <c r="AC31" s="5"/>
      <c r="AD31" s="5"/>
    </row>
    <row r="32" spans="15:30" x14ac:dyDescent="0.25">
      <c r="O32">
        <v>2003</v>
      </c>
      <c r="P32">
        <v>28.5</v>
      </c>
      <c r="Q32">
        <f t="shared" si="1"/>
        <v>35</v>
      </c>
      <c r="R32">
        <f t="shared" si="2"/>
        <v>38.5</v>
      </c>
      <c r="S32">
        <f t="shared" si="3"/>
        <v>41</v>
      </c>
      <c r="T32" s="19">
        <f t="shared" si="0"/>
        <v>1.0649350649350648</v>
      </c>
      <c r="U32" s="19"/>
      <c r="V32">
        <v>2003</v>
      </c>
      <c r="W32">
        <v>4</v>
      </c>
      <c r="X32">
        <v>3.41</v>
      </c>
      <c r="Z32" s="3"/>
      <c r="AA32" s="5"/>
      <c r="AB32" s="5"/>
      <c r="AC32" s="5"/>
      <c r="AD32" s="5"/>
    </row>
    <row r="33" spans="15:30" x14ac:dyDescent="0.25">
      <c r="O33">
        <v>2004</v>
      </c>
      <c r="P33">
        <v>31.5</v>
      </c>
      <c r="Q33">
        <f t="shared" si="1"/>
        <v>38</v>
      </c>
      <c r="R33">
        <f t="shared" si="2"/>
        <v>41.5</v>
      </c>
      <c r="S33">
        <f t="shared" si="3"/>
        <v>44</v>
      </c>
      <c r="T33" s="19">
        <f t="shared" si="0"/>
        <v>1.0602409638554218</v>
      </c>
      <c r="U33" s="19"/>
      <c r="V33">
        <v>2004</v>
      </c>
      <c r="W33">
        <v>3.7</v>
      </c>
      <c r="X33">
        <v>3.51</v>
      </c>
      <c r="Z33" s="3"/>
      <c r="AA33" s="3"/>
      <c r="AB33" s="3"/>
      <c r="AC33" s="3"/>
      <c r="AD33" s="3"/>
    </row>
    <row r="34" spans="15:30" x14ac:dyDescent="0.25">
      <c r="O34">
        <v>2005</v>
      </c>
      <c r="P34">
        <v>34.4</v>
      </c>
      <c r="Q34">
        <f t="shared" si="1"/>
        <v>40.9</v>
      </c>
      <c r="R34">
        <f t="shared" si="2"/>
        <v>44.4</v>
      </c>
      <c r="S34">
        <f t="shared" si="3"/>
        <v>46.9</v>
      </c>
      <c r="T34" s="19">
        <f t="shared" si="0"/>
        <v>1.0563063063063063</v>
      </c>
      <c r="U34" s="19"/>
      <c r="V34">
        <v>2005</v>
      </c>
      <c r="W34">
        <v>4</v>
      </c>
      <c r="X34">
        <v>4.49</v>
      </c>
      <c r="Z34" s="3"/>
      <c r="AA34" s="3"/>
      <c r="AB34" s="3"/>
      <c r="AC34" s="3"/>
      <c r="AD34" s="3"/>
    </row>
    <row r="35" spans="15:30" x14ac:dyDescent="0.25">
      <c r="O35">
        <v>2006</v>
      </c>
      <c r="P35">
        <v>21.4</v>
      </c>
      <c r="Q35">
        <f t="shared" si="1"/>
        <v>27.9</v>
      </c>
      <c r="R35">
        <f t="shared" si="2"/>
        <v>31.4</v>
      </c>
      <c r="S35">
        <f t="shared" si="3"/>
        <v>33.9</v>
      </c>
      <c r="T35" s="19">
        <f t="shared" si="0"/>
        <v>1.0796178343949046</v>
      </c>
      <c r="U35" s="19"/>
      <c r="V35">
        <v>2006</v>
      </c>
      <c r="W35">
        <v>4.5599999999999996</v>
      </c>
      <c r="X35" s="19">
        <v>4.1040000000000001</v>
      </c>
      <c r="Z35" s="3"/>
      <c r="AA35" s="3"/>
      <c r="AB35" s="3"/>
      <c r="AC35" s="3"/>
      <c r="AD35" s="3"/>
    </row>
    <row r="36" spans="15:30" x14ac:dyDescent="0.25">
      <c r="O36">
        <v>2007</v>
      </c>
      <c r="P36">
        <v>31.9</v>
      </c>
      <c r="Q36">
        <f t="shared" si="1"/>
        <v>38.4</v>
      </c>
      <c r="R36">
        <f t="shared" si="2"/>
        <v>41.9</v>
      </c>
      <c r="S36">
        <f t="shared" si="3"/>
        <v>44.4</v>
      </c>
      <c r="T36" s="19">
        <f t="shared" si="0"/>
        <v>1.0596658711217184</v>
      </c>
      <c r="U36" s="19"/>
      <c r="V36">
        <v>2007</v>
      </c>
      <c r="W36">
        <v>5.5</v>
      </c>
      <c r="X36">
        <v>6.31</v>
      </c>
      <c r="Z36" s="3"/>
      <c r="AA36" s="3"/>
      <c r="AB36" s="3"/>
      <c r="AC36" s="3"/>
      <c r="AD36" s="3"/>
    </row>
    <row r="37" spans="15:30" x14ac:dyDescent="0.25">
      <c r="O37">
        <v>2008</v>
      </c>
      <c r="P37">
        <v>39</v>
      </c>
      <c r="Q37">
        <f t="shared" si="1"/>
        <v>45.5</v>
      </c>
      <c r="R37">
        <v>41</v>
      </c>
      <c r="S37">
        <f t="shared" si="3"/>
        <v>43.5</v>
      </c>
      <c r="T37" s="19">
        <f t="shared" si="0"/>
        <v>1.0609756097560976</v>
      </c>
      <c r="U37" s="19"/>
      <c r="V37">
        <v>2008</v>
      </c>
      <c r="W37">
        <v>6.9</v>
      </c>
      <c r="X37">
        <v>4.79</v>
      </c>
      <c r="Z37" s="3"/>
      <c r="AA37" s="3"/>
      <c r="AB37" s="3"/>
      <c r="AC37" s="3"/>
      <c r="AD37" s="3"/>
    </row>
    <row r="38" spans="15:30" x14ac:dyDescent="0.25">
      <c r="O38">
        <v>2009</v>
      </c>
      <c r="P38">
        <v>38</v>
      </c>
      <c r="Q38">
        <f t="shared" si="1"/>
        <v>44.5</v>
      </c>
      <c r="R38">
        <v>43</v>
      </c>
      <c r="S38">
        <f t="shared" si="3"/>
        <v>45.5</v>
      </c>
      <c r="T38" s="19">
        <f t="shared" si="0"/>
        <v>1.058139534883721</v>
      </c>
      <c r="U38" s="19"/>
      <c r="V38">
        <v>2009</v>
      </c>
      <c r="W38">
        <v>7.2</v>
      </c>
      <c r="X38">
        <v>5.81</v>
      </c>
      <c r="Z38" s="3"/>
      <c r="AA38" s="3"/>
      <c r="AB38" s="3"/>
      <c r="AC38" s="3"/>
      <c r="AD38" s="3"/>
    </row>
    <row r="39" spans="15:30" x14ac:dyDescent="0.25">
      <c r="O39">
        <v>2010</v>
      </c>
      <c r="P39">
        <v>37.299999999999997</v>
      </c>
      <c r="Q39">
        <f t="shared" si="1"/>
        <v>43.8</v>
      </c>
      <c r="R39">
        <v>51.8</v>
      </c>
      <c r="S39">
        <f t="shared" si="3"/>
        <v>54.3</v>
      </c>
      <c r="T39" s="19">
        <f t="shared" si="0"/>
        <v>1.0482625482625483</v>
      </c>
      <c r="U39" s="19"/>
      <c r="V39">
        <v>2010</v>
      </c>
      <c r="W39">
        <v>5.17</v>
      </c>
      <c r="X39">
        <v>6.3</v>
      </c>
      <c r="Z39" s="3"/>
      <c r="AA39" s="3"/>
      <c r="AB39" s="3"/>
      <c r="AC39" s="3"/>
      <c r="AD39" s="3"/>
    </row>
    <row r="40" spans="15:30" x14ac:dyDescent="0.25">
      <c r="O40">
        <v>2011</v>
      </c>
      <c r="P40">
        <v>30.5</v>
      </c>
      <c r="Q40">
        <f t="shared" si="1"/>
        <v>37</v>
      </c>
      <c r="R40">
        <v>38.299999999999997</v>
      </c>
      <c r="S40">
        <f t="shared" si="3"/>
        <v>40.799999999999997</v>
      </c>
      <c r="T40" s="19">
        <f t="shared" si="0"/>
        <v>1.0652741514360313</v>
      </c>
      <c r="U40" s="19"/>
      <c r="V40">
        <v>2011</v>
      </c>
      <c r="W40">
        <v>5.17</v>
      </c>
      <c r="X40">
        <v>6.3</v>
      </c>
      <c r="Z40" s="3"/>
      <c r="AA40" s="3"/>
      <c r="AB40" s="3"/>
      <c r="AC40" s="3"/>
      <c r="AD40" s="3"/>
    </row>
    <row r="41" spans="15:30" x14ac:dyDescent="0.25">
      <c r="O41" t="s">
        <v>36</v>
      </c>
      <c r="P41" s="23">
        <f>AVERAGE(P24:P40)</f>
        <v>28.370588235294115</v>
      </c>
      <c r="Q41" s="23">
        <f>AVERAGE(Q24:Q40)</f>
        <v>34.405882352941177</v>
      </c>
      <c r="R41" s="23">
        <f>AVERAGE(R24:R40)</f>
        <v>37.677030812324922</v>
      </c>
      <c r="S41" s="23">
        <f>AVERAGE(S24:S40)</f>
        <v>39.784873949579818</v>
      </c>
      <c r="T41" s="24">
        <f>AVERAGE(T4:T40)</f>
        <v>1.1164366860215444</v>
      </c>
      <c r="U41" s="19"/>
      <c r="V41" s="17" t="s">
        <v>36</v>
      </c>
      <c r="W41" s="24">
        <f>AVERAGE(W24:W40)</f>
        <v>4.3941176470588239</v>
      </c>
      <c r="X41" s="24">
        <f>AVERAGE(X24:X40)</f>
        <v>4.1978823529411766</v>
      </c>
      <c r="Z41" s="17"/>
      <c r="AA41" s="23"/>
      <c r="AB41" s="23"/>
      <c r="AC41" s="23"/>
      <c r="AD41" s="23"/>
    </row>
    <row r="42" spans="15:30" x14ac:dyDescent="0.25">
      <c r="O42" t="s">
        <v>34</v>
      </c>
      <c r="P42" s="24">
        <f>STDEV(P24:P40)</f>
        <v>6.493916836729051</v>
      </c>
      <c r="Q42" s="24">
        <f t="shared" ref="Q42:S42" si="4">STDEV(Q24:Q40)</f>
        <v>7.0314890482239942</v>
      </c>
      <c r="R42" s="24">
        <f t="shared" si="4"/>
        <v>6.1151484323337302</v>
      </c>
      <c r="S42" s="24">
        <f t="shared" si="4"/>
        <v>6.5593823412483454</v>
      </c>
    </row>
    <row r="43" spans="15:30" x14ac:dyDescent="0.25">
      <c r="O43" s="17" t="s">
        <v>35</v>
      </c>
      <c r="P43" s="24">
        <f>P42/P41</f>
        <v>0.22889609418286103</v>
      </c>
      <c r="Q43" s="24">
        <f t="shared" ref="Q43:S43" si="5">Q42/Q41</f>
        <v>0.20436880461584528</v>
      </c>
      <c r="R43" s="24">
        <f t="shared" si="5"/>
        <v>0.16230441466564136</v>
      </c>
      <c r="S43" s="24">
        <f t="shared" si="5"/>
        <v>0.164871261111979</v>
      </c>
    </row>
    <row r="45" spans="15:30" ht="60" x14ac:dyDescent="0.25">
      <c r="P45" s="26" t="s">
        <v>116</v>
      </c>
      <c r="Q45" s="26" t="s">
        <v>101</v>
      </c>
      <c r="R45" s="26">
        <f>37.51325468</f>
        <v>37.513254680000003</v>
      </c>
      <c r="S45" s="26">
        <f>39.66375887</f>
        <v>39.663758870000002</v>
      </c>
      <c r="T45" s="26" t="s">
        <v>114</v>
      </c>
      <c r="U45" s="9">
        <f>P41*1.12</f>
        <v>31.77505882352941</v>
      </c>
    </row>
    <row r="46" spans="15:30" ht="30" x14ac:dyDescent="0.25">
      <c r="Q46" s="26" t="s">
        <v>99</v>
      </c>
      <c r="R46" s="26">
        <f>38.0006</f>
        <v>38.000599999999999</v>
      </c>
      <c r="S46" s="26">
        <f>40.1084</f>
        <v>40.108400000000003</v>
      </c>
      <c r="T46" s="26" t="s">
        <v>115</v>
      </c>
      <c r="U46" s="9">
        <f>R41</f>
        <v>37.677030812324922</v>
      </c>
    </row>
    <row r="47" spans="15:30" ht="30" x14ac:dyDescent="0.25">
      <c r="Q47" s="26" t="s">
        <v>100</v>
      </c>
      <c r="R47" s="26">
        <f>38.11074182</f>
        <v>38.110741820000001</v>
      </c>
      <c r="S47" s="26">
        <f>40.23303216</f>
        <v>40.23303216</v>
      </c>
    </row>
  </sheetData>
  <conditionalFormatting sqref="R45">
    <cfRule type="expression" dxfId="1061" priority="1" stopIfTrue="1">
      <formula>RiskIsInput</formula>
    </cfRule>
  </conditionalFormatting>
  <conditionalFormatting sqref="S45">
    <cfRule type="expression" dxfId="1060" priority="2" stopIfTrue="1">
      <formula>RiskIsInput</formula>
    </cfRule>
  </conditionalFormatting>
  <conditionalFormatting sqref="R46">
    <cfRule type="expression" dxfId="1059" priority="3" stopIfTrue="1">
      <formula>RiskIsInput</formula>
    </cfRule>
  </conditionalFormatting>
  <conditionalFormatting sqref="S46">
    <cfRule type="expression" dxfId="1058" priority="4" stopIfTrue="1">
      <formula>RiskIsInput</formula>
    </cfRule>
  </conditionalFormatting>
  <conditionalFormatting sqref="R47">
    <cfRule type="expression" dxfId="1057" priority="5" stopIfTrue="1">
      <formula>RiskIsInput</formula>
    </cfRule>
  </conditionalFormatting>
  <conditionalFormatting sqref="S47">
    <cfRule type="expression" dxfId="1056" priority="6" stopIfTrue="1">
      <formula>RiskIsInput</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zoomScaleNormal="100" workbookViewId="0">
      <selection activeCell="K27" sqref="K27"/>
    </sheetView>
  </sheetViews>
  <sheetFormatPr defaultRowHeight="15" x14ac:dyDescent="0.25"/>
  <cols>
    <col min="1" max="1" width="16.42578125" bestFit="1" customWidth="1"/>
    <col min="2" max="2" width="15.5703125" bestFit="1" customWidth="1"/>
    <col min="3" max="8" width="13.5703125" bestFit="1" customWidth="1"/>
    <col min="9" max="32" width="11.85546875" bestFit="1" customWidth="1"/>
  </cols>
  <sheetData>
    <row r="1" spans="1:32" ht="60" x14ac:dyDescent="0.25">
      <c r="A1" s="12" t="s">
        <v>23</v>
      </c>
    </row>
    <row r="2" spans="1:32" x14ac:dyDescent="0.25">
      <c r="A2" t="s">
        <v>119</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row>
    <row r="4" spans="1:32" x14ac:dyDescent="0.25">
      <c r="A4" t="s">
        <v>26</v>
      </c>
      <c r="B4" s="6">
        <v>93.6</v>
      </c>
      <c r="C4" s="6">
        <v>93.6</v>
      </c>
      <c r="D4" s="6">
        <v>93.6</v>
      </c>
      <c r="E4" s="6">
        <v>93.6</v>
      </c>
      <c r="F4" s="6">
        <v>93.6</v>
      </c>
      <c r="G4" s="6">
        <v>93.6</v>
      </c>
      <c r="H4" s="6">
        <v>93.6</v>
      </c>
      <c r="I4" s="6">
        <v>93.6</v>
      </c>
      <c r="J4" s="6">
        <v>93.6</v>
      </c>
      <c r="K4" s="6">
        <v>93.6</v>
      </c>
      <c r="L4" s="6">
        <v>93.6</v>
      </c>
      <c r="M4" s="6">
        <v>93.6</v>
      </c>
      <c r="N4" s="6">
        <v>93.6</v>
      </c>
      <c r="O4" s="6">
        <v>93.6</v>
      </c>
      <c r="P4" s="6">
        <v>93.6</v>
      </c>
      <c r="Q4" s="6">
        <v>93.6</v>
      </c>
      <c r="R4" s="6">
        <v>93.6</v>
      </c>
      <c r="S4" s="6">
        <v>93.6</v>
      </c>
      <c r="T4" s="6">
        <v>93.6</v>
      </c>
      <c r="U4" s="6">
        <v>93.6</v>
      </c>
      <c r="V4" s="6">
        <v>93.6</v>
      </c>
      <c r="W4" s="6">
        <v>93.6</v>
      </c>
      <c r="X4" s="6">
        <v>93.6</v>
      </c>
      <c r="Y4" s="6">
        <v>93.6</v>
      </c>
      <c r="Z4" s="6">
        <v>93.6</v>
      </c>
      <c r="AA4" s="6">
        <v>93.6</v>
      </c>
      <c r="AB4" s="6">
        <v>93.6</v>
      </c>
      <c r="AC4" s="6">
        <v>93.6</v>
      </c>
      <c r="AD4" s="6">
        <v>93.6</v>
      </c>
      <c r="AE4" s="6">
        <v>93.6</v>
      </c>
      <c r="AF4" s="6">
        <v>93.6</v>
      </c>
    </row>
    <row r="5" spans="1:32" x14ac:dyDescent="0.25">
      <c r="A5" t="s">
        <v>27</v>
      </c>
      <c r="B5" s="3">
        <v>28.4</v>
      </c>
      <c r="C5" s="3">
        <v>28.4</v>
      </c>
      <c r="D5" s="3">
        <v>28.4</v>
      </c>
      <c r="E5" s="3">
        <v>28.4</v>
      </c>
      <c r="F5" s="3">
        <v>28.4</v>
      </c>
      <c r="G5" s="3">
        <v>28.4</v>
      </c>
      <c r="H5" s="3">
        <v>28.4</v>
      </c>
      <c r="I5" s="3">
        <v>28.4</v>
      </c>
      <c r="J5" s="3">
        <v>28.4</v>
      </c>
      <c r="K5" s="3">
        <v>28.4</v>
      </c>
      <c r="L5" s="3">
        <v>28.4</v>
      </c>
      <c r="M5" s="3">
        <v>28.4</v>
      </c>
      <c r="N5" s="3">
        <v>28.4</v>
      </c>
      <c r="O5" s="3">
        <v>28.4</v>
      </c>
      <c r="P5" s="3">
        <v>28.4</v>
      </c>
      <c r="Q5" s="3">
        <v>28.4</v>
      </c>
      <c r="R5" s="3">
        <v>28.4</v>
      </c>
      <c r="S5" s="3">
        <v>28.4</v>
      </c>
      <c r="T5" s="3">
        <v>28.4</v>
      </c>
      <c r="U5" s="3">
        <v>28.4</v>
      </c>
      <c r="V5" s="3">
        <v>28.4</v>
      </c>
      <c r="W5" s="3">
        <v>28.4</v>
      </c>
      <c r="X5" s="3">
        <v>28.4</v>
      </c>
      <c r="Y5" s="3">
        <v>28.4</v>
      </c>
      <c r="Z5" s="3">
        <v>28.4</v>
      </c>
      <c r="AA5" s="3">
        <v>28.4</v>
      </c>
      <c r="AB5" s="3">
        <v>28.4</v>
      </c>
      <c r="AC5" s="3">
        <v>28.4</v>
      </c>
      <c r="AD5" s="3">
        <v>28.4</v>
      </c>
      <c r="AE5" s="3">
        <v>28.4</v>
      </c>
      <c r="AF5" s="3">
        <v>28.4</v>
      </c>
    </row>
    <row r="6" spans="1:32" x14ac:dyDescent="0.25">
      <c r="A6" t="s">
        <v>28</v>
      </c>
      <c r="B6" s="4">
        <v>0</v>
      </c>
      <c r="C6" s="4">
        <v>-2</v>
      </c>
      <c r="D6" s="4">
        <v>-2</v>
      </c>
      <c r="E6" s="4">
        <v>-1</v>
      </c>
      <c r="F6" s="4">
        <v>0</v>
      </c>
      <c r="G6" s="4">
        <v>-1</v>
      </c>
      <c r="H6" s="4">
        <v>2</v>
      </c>
      <c r="I6" s="4">
        <v>0</v>
      </c>
      <c r="J6" s="4">
        <v>-1</v>
      </c>
      <c r="K6" s="4">
        <v>3</v>
      </c>
      <c r="L6" s="4">
        <v>5</v>
      </c>
      <c r="M6" s="4">
        <v>2</v>
      </c>
      <c r="N6" s="4">
        <v>0</v>
      </c>
      <c r="O6" s="4">
        <v>-2</v>
      </c>
      <c r="P6" s="4">
        <v>-1</v>
      </c>
      <c r="Q6" s="4">
        <v>1</v>
      </c>
      <c r="R6" s="4">
        <v>1</v>
      </c>
      <c r="S6" s="4">
        <v>0</v>
      </c>
      <c r="T6" s="4">
        <v>2</v>
      </c>
      <c r="U6" s="4">
        <v>3</v>
      </c>
      <c r="V6" s="4">
        <v>1</v>
      </c>
      <c r="W6" s="4">
        <v>-1</v>
      </c>
      <c r="X6" s="4">
        <v>-2</v>
      </c>
      <c r="Y6" s="4">
        <v>2</v>
      </c>
      <c r="Z6" s="4">
        <v>1</v>
      </c>
      <c r="AA6" s="4">
        <v>3</v>
      </c>
      <c r="AB6" s="4">
        <v>1</v>
      </c>
      <c r="AC6" s="4">
        <v>2</v>
      </c>
      <c r="AD6" s="4">
        <v>1</v>
      </c>
      <c r="AE6" s="4">
        <v>0</v>
      </c>
      <c r="AF6" s="4">
        <v>0</v>
      </c>
    </row>
    <row r="7" spans="1:32" x14ac:dyDescent="0.25">
      <c r="A7" t="s">
        <v>29</v>
      </c>
      <c r="B7" s="3">
        <f>B5+B6</f>
        <v>28.4</v>
      </c>
      <c r="C7" s="3">
        <f t="shared" ref="C7:AF7" si="0">C5+C6</f>
        <v>26.4</v>
      </c>
      <c r="D7" s="3">
        <f t="shared" si="0"/>
        <v>26.4</v>
      </c>
      <c r="E7" s="3">
        <f t="shared" si="0"/>
        <v>27.4</v>
      </c>
      <c r="F7" s="3">
        <f t="shared" si="0"/>
        <v>28.4</v>
      </c>
      <c r="G7" s="3">
        <f t="shared" si="0"/>
        <v>27.4</v>
      </c>
      <c r="H7" s="3">
        <f t="shared" si="0"/>
        <v>30.4</v>
      </c>
      <c r="I7" s="3">
        <f t="shared" si="0"/>
        <v>28.4</v>
      </c>
      <c r="J7" s="3">
        <f t="shared" si="0"/>
        <v>27.4</v>
      </c>
      <c r="K7" s="3">
        <f t="shared" si="0"/>
        <v>31.4</v>
      </c>
      <c r="L7" s="3">
        <f t="shared" si="0"/>
        <v>33.4</v>
      </c>
      <c r="M7" s="3">
        <f t="shared" si="0"/>
        <v>30.4</v>
      </c>
      <c r="N7" s="3">
        <f t="shared" si="0"/>
        <v>28.4</v>
      </c>
      <c r="O7" s="3">
        <f t="shared" si="0"/>
        <v>26.4</v>
      </c>
      <c r="P7" s="3">
        <f t="shared" si="0"/>
        <v>27.4</v>
      </c>
      <c r="Q7" s="3">
        <f t="shared" si="0"/>
        <v>29.4</v>
      </c>
      <c r="R7" s="3">
        <f t="shared" si="0"/>
        <v>29.4</v>
      </c>
      <c r="S7" s="3">
        <f t="shared" si="0"/>
        <v>28.4</v>
      </c>
      <c r="T7" s="3">
        <f t="shared" si="0"/>
        <v>30.4</v>
      </c>
      <c r="U7" s="3">
        <f t="shared" si="0"/>
        <v>31.4</v>
      </c>
      <c r="V7" s="3">
        <f t="shared" si="0"/>
        <v>29.4</v>
      </c>
      <c r="W7" s="3">
        <f t="shared" si="0"/>
        <v>27.4</v>
      </c>
      <c r="X7" s="3">
        <f t="shared" si="0"/>
        <v>26.4</v>
      </c>
      <c r="Y7" s="3">
        <f t="shared" si="0"/>
        <v>30.4</v>
      </c>
      <c r="Z7" s="3">
        <f t="shared" si="0"/>
        <v>29.4</v>
      </c>
      <c r="AA7" s="3">
        <f t="shared" si="0"/>
        <v>31.4</v>
      </c>
      <c r="AB7" s="3">
        <f t="shared" si="0"/>
        <v>29.4</v>
      </c>
      <c r="AC7" s="3">
        <f t="shared" si="0"/>
        <v>30.4</v>
      </c>
      <c r="AD7" s="3">
        <f t="shared" si="0"/>
        <v>29.4</v>
      </c>
      <c r="AE7" s="3">
        <f t="shared" si="0"/>
        <v>28.4</v>
      </c>
      <c r="AF7" s="3">
        <f t="shared" si="0"/>
        <v>28.4</v>
      </c>
    </row>
    <row r="8" spans="1:32" x14ac:dyDescent="0.25">
      <c r="A8" t="s">
        <v>10</v>
      </c>
      <c r="B8">
        <f>B7</f>
        <v>28.4</v>
      </c>
      <c r="C8">
        <f>C7</f>
        <v>26.4</v>
      </c>
      <c r="D8">
        <f>D7</f>
        <v>26.4</v>
      </c>
      <c r="E8">
        <f>E7</f>
        <v>27.4</v>
      </c>
      <c r="F8">
        <f>F7</f>
        <v>28.4</v>
      </c>
      <c r="G8">
        <f>G7</f>
        <v>27.4</v>
      </c>
      <c r="H8">
        <f>H7</f>
        <v>30.4</v>
      </c>
      <c r="I8">
        <f>I7</f>
        <v>28.4</v>
      </c>
      <c r="J8">
        <f>J7</f>
        <v>27.4</v>
      </c>
      <c r="K8">
        <f>K7</f>
        <v>31.4</v>
      </c>
      <c r="L8">
        <f>L7</f>
        <v>33.4</v>
      </c>
      <c r="M8">
        <f>M7</f>
        <v>30.4</v>
      </c>
      <c r="N8">
        <f>N7</f>
        <v>28.4</v>
      </c>
      <c r="O8">
        <f>O7</f>
        <v>26.4</v>
      </c>
      <c r="P8">
        <f>P7</f>
        <v>27.4</v>
      </c>
      <c r="Q8">
        <f>Q7</f>
        <v>29.4</v>
      </c>
      <c r="R8">
        <f>R7</f>
        <v>29.4</v>
      </c>
      <c r="S8">
        <f>S7</f>
        <v>28.4</v>
      </c>
      <c r="T8">
        <f>T7</f>
        <v>30.4</v>
      </c>
      <c r="U8">
        <f>U7</f>
        <v>31.4</v>
      </c>
      <c r="V8">
        <f>V7</f>
        <v>29.4</v>
      </c>
      <c r="W8">
        <f>W7</f>
        <v>27.4</v>
      </c>
      <c r="X8">
        <f>X7</f>
        <v>26.4</v>
      </c>
      <c r="Y8">
        <f>Y7</f>
        <v>30.4</v>
      </c>
      <c r="Z8">
        <f>Z7</f>
        <v>29.4</v>
      </c>
      <c r="AA8">
        <f>AA7</f>
        <v>31.4</v>
      </c>
      <c r="AB8">
        <f>AB7</f>
        <v>29.4</v>
      </c>
      <c r="AC8">
        <f>AC7</f>
        <v>30.4</v>
      </c>
      <c r="AD8">
        <f>AD7</f>
        <v>29.4</v>
      </c>
      <c r="AE8">
        <f>AE7</f>
        <v>28.4</v>
      </c>
      <c r="AF8">
        <f>AF7</f>
        <v>28.4</v>
      </c>
    </row>
    <row r="9" spans="1:32" x14ac:dyDescent="0.25">
      <c r="A9" t="s">
        <v>39</v>
      </c>
      <c r="B9" t="s">
        <v>38</v>
      </c>
      <c r="C9" t="s">
        <v>38</v>
      </c>
      <c r="D9" t="s">
        <v>38</v>
      </c>
      <c r="E9" t="s">
        <v>38</v>
      </c>
      <c r="F9" t="s">
        <v>38</v>
      </c>
      <c r="G9" t="s">
        <v>38</v>
      </c>
      <c r="H9" t="s">
        <v>38</v>
      </c>
      <c r="I9" t="s">
        <v>38</v>
      </c>
      <c r="J9" t="s">
        <v>38</v>
      </c>
      <c r="K9" t="s">
        <v>38</v>
      </c>
      <c r="L9" t="s">
        <v>38</v>
      </c>
      <c r="M9" t="s">
        <v>38</v>
      </c>
      <c r="N9" t="s">
        <v>38</v>
      </c>
      <c r="O9" t="s">
        <v>38</v>
      </c>
      <c r="P9" t="s">
        <v>38</v>
      </c>
      <c r="Q9" t="s">
        <v>38</v>
      </c>
      <c r="R9" t="s">
        <v>38</v>
      </c>
      <c r="S9" t="s">
        <v>38</v>
      </c>
      <c r="T9" t="s">
        <v>38</v>
      </c>
      <c r="U9" t="s">
        <v>38</v>
      </c>
      <c r="V9" t="s">
        <v>38</v>
      </c>
      <c r="W9" t="s">
        <v>38</v>
      </c>
      <c r="X9" t="s">
        <v>38</v>
      </c>
      <c r="Y9" t="s">
        <v>38</v>
      </c>
      <c r="Z9" t="s">
        <v>38</v>
      </c>
      <c r="AA9" t="s">
        <v>38</v>
      </c>
      <c r="AB9" t="s">
        <v>38</v>
      </c>
      <c r="AC9" t="s">
        <v>38</v>
      </c>
      <c r="AD9" t="s">
        <v>38</v>
      </c>
      <c r="AE9" t="s">
        <v>38</v>
      </c>
      <c r="AF9" t="s">
        <v>38</v>
      </c>
    </row>
    <row r="10" spans="1:32" x14ac:dyDescent="0.25">
      <c r="A10" t="s">
        <v>1</v>
      </c>
      <c r="B10">
        <v>2000</v>
      </c>
      <c r="C10">
        <v>2000</v>
      </c>
      <c r="D10">
        <v>2000</v>
      </c>
      <c r="E10">
        <v>2000</v>
      </c>
      <c r="F10">
        <v>2000</v>
      </c>
      <c r="G10">
        <v>2000</v>
      </c>
      <c r="H10">
        <v>2000</v>
      </c>
      <c r="I10">
        <v>2000</v>
      </c>
      <c r="J10">
        <v>2000</v>
      </c>
      <c r="K10">
        <v>2000</v>
      </c>
      <c r="L10">
        <v>2000</v>
      </c>
      <c r="M10">
        <v>2000</v>
      </c>
      <c r="N10">
        <v>2000</v>
      </c>
      <c r="O10">
        <v>2000</v>
      </c>
      <c r="P10">
        <v>2000</v>
      </c>
      <c r="Q10">
        <v>2000</v>
      </c>
      <c r="R10">
        <v>2000</v>
      </c>
      <c r="S10">
        <v>2000</v>
      </c>
      <c r="T10">
        <v>2000</v>
      </c>
      <c r="U10">
        <v>2000</v>
      </c>
      <c r="V10">
        <v>2000</v>
      </c>
      <c r="W10">
        <v>2000</v>
      </c>
      <c r="X10">
        <v>2000</v>
      </c>
      <c r="Y10">
        <v>2000</v>
      </c>
      <c r="Z10">
        <v>2000</v>
      </c>
      <c r="AA10">
        <v>2000</v>
      </c>
      <c r="AB10">
        <v>2000</v>
      </c>
      <c r="AC10">
        <v>2000</v>
      </c>
      <c r="AD10">
        <v>2000</v>
      </c>
      <c r="AE10">
        <v>2000</v>
      </c>
      <c r="AF10">
        <v>2000</v>
      </c>
    </row>
    <row r="11" spans="1:32" x14ac:dyDescent="0.25">
      <c r="A11" t="s">
        <v>2</v>
      </c>
      <c r="B11">
        <f t="shared" ref="B11:AF11" si="1">B8*B10</f>
        <v>56800</v>
      </c>
      <c r="C11">
        <f t="shared" si="1"/>
        <v>52800</v>
      </c>
      <c r="D11">
        <f t="shared" si="1"/>
        <v>52800</v>
      </c>
      <c r="E11">
        <f t="shared" si="1"/>
        <v>54800</v>
      </c>
      <c r="F11">
        <f t="shared" si="1"/>
        <v>56800</v>
      </c>
      <c r="G11">
        <f t="shared" si="1"/>
        <v>54800</v>
      </c>
      <c r="H11">
        <f t="shared" si="1"/>
        <v>60800</v>
      </c>
      <c r="I11">
        <f t="shared" si="1"/>
        <v>56800</v>
      </c>
      <c r="J11">
        <f t="shared" si="1"/>
        <v>54800</v>
      </c>
      <c r="K11">
        <f t="shared" si="1"/>
        <v>62800</v>
      </c>
      <c r="L11">
        <f t="shared" si="1"/>
        <v>66800</v>
      </c>
      <c r="M11">
        <f t="shared" si="1"/>
        <v>60800</v>
      </c>
      <c r="N11">
        <f t="shared" si="1"/>
        <v>56800</v>
      </c>
      <c r="O11">
        <f t="shared" si="1"/>
        <v>52800</v>
      </c>
      <c r="P11">
        <f t="shared" si="1"/>
        <v>54800</v>
      </c>
      <c r="Q11">
        <f t="shared" si="1"/>
        <v>58800</v>
      </c>
      <c r="R11">
        <f t="shared" si="1"/>
        <v>58800</v>
      </c>
      <c r="S11">
        <f t="shared" si="1"/>
        <v>56800</v>
      </c>
      <c r="T11">
        <f t="shared" si="1"/>
        <v>60800</v>
      </c>
      <c r="U11">
        <f t="shared" si="1"/>
        <v>62800</v>
      </c>
      <c r="V11">
        <f t="shared" si="1"/>
        <v>58800</v>
      </c>
      <c r="W11">
        <f t="shared" si="1"/>
        <v>54800</v>
      </c>
      <c r="X11">
        <f t="shared" si="1"/>
        <v>52800</v>
      </c>
      <c r="Y11">
        <f t="shared" si="1"/>
        <v>60800</v>
      </c>
      <c r="Z11">
        <f t="shared" si="1"/>
        <v>58800</v>
      </c>
      <c r="AA11">
        <f t="shared" si="1"/>
        <v>62800</v>
      </c>
      <c r="AB11">
        <f t="shared" si="1"/>
        <v>58800</v>
      </c>
      <c r="AC11">
        <f t="shared" si="1"/>
        <v>60800</v>
      </c>
      <c r="AD11">
        <f t="shared" si="1"/>
        <v>58800</v>
      </c>
      <c r="AE11">
        <f t="shared" si="1"/>
        <v>56800</v>
      </c>
      <c r="AF11">
        <f t="shared" si="1"/>
        <v>56800</v>
      </c>
    </row>
    <row r="12" spans="1:32" x14ac:dyDescent="0.25">
      <c r="A12" t="s">
        <v>7</v>
      </c>
      <c r="B12" s="1">
        <f t="shared" ref="B12:AF12" si="2">B4*B10</f>
        <v>187200</v>
      </c>
      <c r="C12" s="1">
        <f t="shared" si="2"/>
        <v>187200</v>
      </c>
      <c r="D12" s="1">
        <f t="shared" si="2"/>
        <v>187200</v>
      </c>
      <c r="E12" s="1">
        <f t="shared" si="2"/>
        <v>187200</v>
      </c>
      <c r="F12" s="1">
        <f t="shared" si="2"/>
        <v>187200</v>
      </c>
      <c r="G12" s="1">
        <f t="shared" si="2"/>
        <v>187200</v>
      </c>
      <c r="H12" s="1">
        <f t="shared" si="2"/>
        <v>187200</v>
      </c>
      <c r="I12" s="1">
        <f t="shared" si="2"/>
        <v>187200</v>
      </c>
      <c r="J12" s="1">
        <f t="shared" si="2"/>
        <v>187200</v>
      </c>
      <c r="K12" s="1">
        <f t="shared" si="2"/>
        <v>187200</v>
      </c>
      <c r="L12" s="1">
        <f t="shared" si="2"/>
        <v>187200</v>
      </c>
      <c r="M12" s="1">
        <f t="shared" si="2"/>
        <v>187200</v>
      </c>
      <c r="N12" s="1">
        <f t="shared" si="2"/>
        <v>187200</v>
      </c>
      <c r="O12" s="1">
        <f t="shared" si="2"/>
        <v>187200</v>
      </c>
      <c r="P12" s="1">
        <f t="shared" si="2"/>
        <v>187200</v>
      </c>
      <c r="Q12" s="1">
        <f t="shared" si="2"/>
        <v>187200</v>
      </c>
      <c r="R12" s="1">
        <f t="shared" si="2"/>
        <v>187200</v>
      </c>
      <c r="S12" s="1">
        <f t="shared" si="2"/>
        <v>187200</v>
      </c>
      <c r="T12" s="1">
        <f t="shared" si="2"/>
        <v>187200</v>
      </c>
      <c r="U12" s="1">
        <f t="shared" si="2"/>
        <v>187200</v>
      </c>
      <c r="V12" s="1">
        <f t="shared" si="2"/>
        <v>187200</v>
      </c>
      <c r="W12" s="1">
        <f t="shared" si="2"/>
        <v>187200</v>
      </c>
      <c r="X12" s="1">
        <f t="shared" si="2"/>
        <v>187200</v>
      </c>
      <c r="Y12" s="1">
        <f t="shared" si="2"/>
        <v>187200</v>
      </c>
      <c r="Z12" s="1">
        <f t="shared" si="2"/>
        <v>187200</v>
      </c>
      <c r="AA12" s="1">
        <f t="shared" si="2"/>
        <v>187200</v>
      </c>
      <c r="AB12" s="1">
        <f t="shared" si="2"/>
        <v>187200</v>
      </c>
      <c r="AC12" s="1">
        <f t="shared" si="2"/>
        <v>187200</v>
      </c>
      <c r="AD12" s="1">
        <f t="shared" si="2"/>
        <v>187200</v>
      </c>
      <c r="AE12" s="1">
        <f t="shared" si="2"/>
        <v>187200</v>
      </c>
      <c r="AF12" s="1">
        <f t="shared" si="2"/>
        <v>187200</v>
      </c>
    </row>
    <row r="13" spans="1:32" x14ac:dyDescent="0.25">
      <c r="A13" t="s">
        <v>3</v>
      </c>
      <c r="B13" s="2">
        <f>4.39</f>
        <v>4.3899999999999997</v>
      </c>
      <c r="C13" s="2">
        <f>4.39</f>
        <v>4.3899999999999997</v>
      </c>
      <c r="D13" s="2">
        <f>4.39</f>
        <v>4.3899999999999997</v>
      </c>
      <c r="E13" s="2">
        <f>4.39</f>
        <v>4.3899999999999997</v>
      </c>
      <c r="F13" s="2">
        <f>4.39</f>
        <v>4.3899999999999997</v>
      </c>
      <c r="G13" s="2">
        <f>4.39</f>
        <v>4.3899999999999997</v>
      </c>
      <c r="H13" s="2">
        <f>4.39</f>
        <v>4.3899999999999997</v>
      </c>
      <c r="I13" s="2">
        <f>4.39</f>
        <v>4.3899999999999997</v>
      </c>
      <c r="J13" s="2">
        <f>4.39</f>
        <v>4.3899999999999997</v>
      </c>
      <c r="K13" s="2">
        <f>4.39</f>
        <v>4.3899999999999997</v>
      </c>
      <c r="L13" s="2">
        <f>4.39</f>
        <v>4.3899999999999997</v>
      </c>
      <c r="M13" s="2">
        <f>4.39</f>
        <v>4.3899999999999997</v>
      </c>
      <c r="N13" s="2">
        <f>4.39</f>
        <v>4.3899999999999997</v>
      </c>
      <c r="O13" s="2">
        <f>4.39</f>
        <v>4.3899999999999997</v>
      </c>
      <c r="P13" s="2">
        <f>4.39</f>
        <v>4.3899999999999997</v>
      </c>
      <c r="Q13" s="2">
        <f>4.39</f>
        <v>4.3899999999999997</v>
      </c>
      <c r="R13" s="2">
        <f>4.39</f>
        <v>4.3899999999999997</v>
      </c>
      <c r="S13" s="2">
        <f>4.39</f>
        <v>4.3899999999999997</v>
      </c>
      <c r="T13" s="2">
        <f>4.39</f>
        <v>4.3899999999999997</v>
      </c>
      <c r="U13" s="2">
        <f>4.39</f>
        <v>4.3899999999999997</v>
      </c>
      <c r="V13" s="2">
        <f>4.39</f>
        <v>4.3899999999999997</v>
      </c>
      <c r="W13" s="2">
        <f>4.39</f>
        <v>4.3899999999999997</v>
      </c>
      <c r="X13" s="2">
        <f>4.39</f>
        <v>4.3899999999999997</v>
      </c>
      <c r="Y13" s="2">
        <f>4.39</f>
        <v>4.3899999999999997</v>
      </c>
      <c r="Z13" s="2">
        <f>4.39</f>
        <v>4.3899999999999997</v>
      </c>
      <c r="AA13" s="2">
        <f>4.39</f>
        <v>4.3899999999999997</v>
      </c>
      <c r="AB13" s="2">
        <f>4.39</f>
        <v>4.3899999999999997</v>
      </c>
      <c r="AC13" s="2">
        <f>4.39</f>
        <v>4.3899999999999997</v>
      </c>
      <c r="AD13" s="2">
        <f>4.39</f>
        <v>4.3899999999999997</v>
      </c>
      <c r="AE13" s="2">
        <f>4.39</f>
        <v>4.3899999999999997</v>
      </c>
      <c r="AF13" s="2">
        <f>4.39</f>
        <v>4.3899999999999997</v>
      </c>
    </row>
    <row r="14" spans="1:32" x14ac:dyDescent="0.25">
      <c r="B14" s="2"/>
    </row>
    <row r="15" spans="1:32" x14ac:dyDescent="0.25">
      <c r="A15" t="s">
        <v>4</v>
      </c>
      <c r="B15" s="2">
        <f>B11*B13</f>
        <v>249351.99999999997</v>
      </c>
      <c r="C15" s="2">
        <f>C11*C13</f>
        <v>231791.99999999997</v>
      </c>
      <c r="D15" s="2">
        <f>D11*D13</f>
        <v>231791.99999999997</v>
      </c>
      <c r="E15" s="2">
        <f>E11*E13</f>
        <v>240571.99999999997</v>
      </c>
      <c r="F15" s="2">
        <f>F11*F13</f>
        <v>249351.99999999997</v>
      </c>
      <c r="G15" s="2">
        <f>G11*G13</f>
        <v>240571.99999999997</v>
      </c>
      <c r="H15" s="2">
        <f>H11*H13</f>
        <v>266912</v>
      </c>
      <c r="I15" s="2">
        <f>I11*I13</f>
        <v>249351.99999999997</v>
      </c>
      <c r="J15" s="2">
        <f>J11*J13</f>
        <v>240571.99999999997</v>
      </c>
      <c r="K15" s="2">
        <f>K11*K13</f>
        <v>275692</v>
      </c>
      <c r="L15" s="2">
        <f>L11*L13</f>
        <v>293252</v>
      </c>
      <c r="M15" s="2">
        <f>M11*M13</f>
        <v>266912</v>
      </c>
      <c r="N15" s="2">
        <f>N11*N13</f>
        <v>249351.99999999997</v>
      </c>
      <c r="O15" s="2">
        <f>O11*O13</f>
        <v>231791.99999999997</v>
      </c>
      <c r="P15" s="2">
        <f>P11*P13</f>
        <v>240571.99999999997</v>
      </c>
      <c r="Q15" s="2">
        <f>Q11*Q13</f>
        <v>258131.99999999997</v>
      </c>
      <c r="R15" s="2">
        <f>R11*R13</f>
        <v>258131.99999999997</v>
      </c>
      <c r="S15" s="2">
        <f>S11*S13</f>
        <v>249351.99999999997</v>
      </c>
      <c r="T15" s="2">
        <f>T11*T13</f>
        <v>266912</v>
      </c>
      <c r="U15" s="2">
        <f>U11*U13</f>
        <v>275692</v>
      </c>
      <c r="V15" s="2">
        <f>V11*V13</f>
        <v>258131.99999999997</v>
      </c>
      <c r="W15" s="2">
        <f>W11*W13</f>
        <v>240571.99999999997</v>
      </c>
      <c r="X15" s="2">
        <f>X11*X13</f>
        <v>231791.99999999997</v>
      </c>
      <c r="Y15" s="2">
        <f>Y11*Y13</f>
        <v>266912</v>
      </c>
      <c r="Z15" s="2">
        <f>Z11*Z13</f>
        <v>258131.99999999997</v>
      </c>
      <c r="AA15" s="2">
        <f>AA11*AA13</f>
        <v>275692</v>
      </c>
      <c r="AB15" s="2">
        <f>AB11*AB13</f>
        <v>258131.99999999997</v>
      </c>
      <c r="AC15" s="2">
        <f>AC11*AC13</f>
        <v>266912</v>
      </c>
      <c r="AD15" s="2">
        <f>AD11*AD13</f>
        <v>258131.99999999997</v>
      </c>
      <c r="AE15" s="2">
        <f>AE11*AE13</f>
        <v>249351.99999999997</v>
      </c>
      <c r="AF15" s="2">
        <f>AF11*AF13</f>
        <v>249351.99999999997</v>
      </c>
    </row>
    <row r="16" spans="1:32" x14ac:dyDescent="0.25">
      <c r="A16" t="s">
        <v>5</v>
      </c>
      <c r="B16" s="2">
        <f>B15-B12</f>
        <v>62151.999999999971</v>
      </c>
      <c r="C16" s="2">
        <f>C15-C12</f>
        <v>44591.999999999971</v>
      </c>
      <c r="D16" s="2">
        <f>D15-D12</f>
        <v>44591.999999999971</v>
      </c>
      <c r="E16" s="2">
        <f>E15-E12</f>
        <v>53371.999999999971</v>
      </c>
      <c r="F16" s="2">
        <f>F15-F12</f>
        <v>62151.999999999971</v>
      </c>
      <c r="G16" s="2">
        <f>G15-G12</f>
        <v>53371.999999999971</v>
      </c>
      <c r="H16" s="2">
        <f>H15-H12</f>
        <v>79712</v>
      </c>
      <c r="I16" s="2">
        <f>I15-I12</f>
        <v>62151.999999999971</v>
      </c>
      <c r="J16" s="2">
        <f>J15-J12</f>
        <v>53371.999999999971</v>
      </c>
      <c r="K16" s="2">
        <f>K15-K12</f>
        <v>88492</v>
      </c>
      <c r="L16" s="2">
        <f>L15-L12</f>
        <v>106052</v>
      </c>
      <c r="M16" s="2">
        <f>M15-M12</f>
        <v>79712</v>
      </c>
      <c r="N16" s="2">
        <f>N15-N12</f>
        <v>62151.999999999971</v>
      </c>
      <c r="O16" s="2">
        <f>O15-O12</f>
        <v>44591.999999999971</v>
      </c>
      <c r="P16" s="2">
        <f>P15-P12</f>
        <v>53371.999999999971</v>
      </c>
      <c r="Q16" s="2">
        <f>Q15-Q12</f>
        <v>70931.999999999971</v>
      </c>
      <c r="R16" s="2">
        <f>R15-R12</f>
        <v>70931.999999999971</v>
      </c>
      <c r="S16" s="2">
        <f>S15-S12</f>
        <v>62151.999999999971</v>
      </c>
      <c r="T16" s="2">
        <f>T15-T12</f>
        <v>79712</v>
      </c>
      <c r="U16" s="2">
        <f>U15-U12</f>
        <v>88492</v>
      </c>
      <c r="V16" s="2">
        <f>V15-V12</f>
        <v>70931.999999999971</v>
      </c>
      <c r="W16" s="2">
        <f>W15-W12</f>
        <v>53371.999999999971</v>
      </c>
      <c r="X16" s="2">
        <f>X15-X12</f>
        <v>44591.999999999971</v>
      </c>
      <c r="Y16" s="2">
        <f>Y15-Y12</f>
        <v>79712</v>
      </c>
      <c r="Z16" s="2">
        <f>Z15-Z12</f>
        <v>70931.999999999971</v>
      </c>
      <c r="AA16" s="2">
        <f>AA15-AA12</f>
        <v>88492</v>
      </c>
      <c r="AB16" s="2">
        <f>AB15-AB12</f>
        <v>70931.999999999971</v>
      </c>
      <c r="AC16" s="2">
        <f>AC15-AC12</f>
        <v>79712</v>
      </c>
      <c r="AD16" s="2">
        <f>AD15-AD12</f>
        <v>70931.999999999971</v>
      </c>
      <c r="AE16" s="2">
        <f>AE15-AE12</f>
        <v>62151.999999999971</v>
      </c>
      <c r="AF16" s="2">
        <f>AF15-AF12</f>
        <v>62151.999999999971</v>
      </c>
    </row>
    <row r="17" spans="1:32" x14ac:dyDescent="0.25">
      <c r="B17" s="2"/>
    </row>
    <row r="20" spans="1:32" x14ac:dyDescent="0.25">
      <c r="A20" t="s">
        <v>6</v>
      </c>
      <c r="B20" s="1">
        <f>NPV(3%,B16:AF16)</f>
        <v>1316245.0546439635</v>
      </c>
      <c r="C20" s="1">
        <f>NPV(3%,C16:AF16)</f>
        <v>1293580.4062832822</v>
      </c>
      <c r="D20" s="1">
        <f>NPV(3%,D16:AF16)</f>
        <v>1287795.818471781</v>
      </c>
      <c r="E20" s="1">
        <f>NPV(3%,E16:AF16)</f>
        <v>1281837.6930259345</v>
      </c>
      <c r="F20" s="1">
        <f>NPV(3%,F16:AF16)</f>
        <v>1266920.823816712</v>
      </c>
      <c r="G20" s="1">
        <f>NPV(3%,G16:AF16)</f>
        <v>1242776.4485312137</v>
      </c>
      <c r="H20" s="1">
        <f>NPV(3%,H16:AF16)</f>
        <v>1226687.7419871502</v>
      </c>
      <c r="I20" s="1">
        <f>NPV(3%,I16:AF16)</f>
        <v>1183776.3742467649</v>
      </c>
      <c r="J20" s="1">
        <f>NPV(3%,J16:AF16)</f>
        <v>1157137.6654741678</v>
      </c>
      <c r="K20" s="1">
        <f>NPV(3%,K16:AF16)</f>
        <v>1138479.7954383933</v>
      </c>
      <c r="L20" s="1">
        <f>NPV(3%,L16:AO16)</f>
        <v>1084142.1893015448</v>
      </c>
      <c r="M20" s="1">
        <f>NPV(3%,M16:AP16)</f>
        <v>1010614.4549805912</v>
      </c>
      <c r="N20" s="1">
        <f>NPV(3%,N16:AQ16)</f>
        <v>961220.88863000879</v>
      </c>
      <c r="O20" s="1">
        <f>NPV(3%,O16:AR16)</f>
        <v>927905.5152889092</v>
      </c>
      <c r="P20" s="1">
        <f>NPV(3%,P16:AS16)</f>
        <v>911150.68074757641</v>
      </c>
      <c r="Q20" s="1">
        <f>NPV(3%,Q16:AT16)</f>
        <v>885113.20117000386</v>
      </c>
      <c r="R20" s="1">
        <f>NPV(3%,R16:AU16)</f>
        <v>840734.59720510407</v>
      </c>
      <c r="S20" s="1">
        <f>NPV(3%,S16:AV16)</f>
        <v>795024.63512125704</v>
      </c>
      <c r="T20" s="1">
        <f>NPV(3%,T16:AW16)</f>
        <v>756723.374174895</v>
      </c>
      <c r="U20" s="1">
        <f>NPV(3%,U16:AX16)</f>
        <v>699713.07540014165</v>
      </c>
      <c r="V20" s="1">
        <f>NPV(3%,V16:AY16)</f>
        <v>632212.46766214597</v>
      </c>
      <c r="W20" s="1">
        <f>NPV(3%,W16:AZ16)</f>
        <v>580246.84169201052</v>
      </c>
      <c r="X20" s="1">
        <f>NPV(3%,X16:BA16)</f>
        <v>544282.24694277078</v>
      </c>
      <c r="Y20" s="1">
        <f>NPV(3%,Y16:BB16)</f>
        <v>516018.71435105399</v>
      </c>
      <c r="Z20" s="1">
        <f>NPV(3%,Z16:BC16)</f>
        <v>451787.2757815856</v>
      </c>
      <c r="AA20" s="1">
        <f>NPV(3%,AA16:BD16)</f>
        <v>394408.89405503322</v>
      </c>
      <c r="AB20" s="1">
        <f>NPV(3%,AB16:BE16)</f>
        <v>317749.16087668424</v>
      </c>
      <c r="AC20" s="1">
        <f>NPV(3%,AC16:BF16)</f>
        <v>256349.63570298481</v>
      </c>
      <c r="AD20" s="1">
        <f>NPV(3%,AD16:BG16)</f>
        <v>184328.12477407433</v>
      </c>
      <c r="AE20" s="1">
        <f>NPV(3%,AE16:BH16)</f>
        <v>118925.96851729658</v>
      </c>
      <c r="AF20" s="1">
        <f>NPV(3%,AF16:BI16)</f>
        <v>60341.747572815504</v>
      </c>
    </row>
    <row r="21" spans="1:32" x14ac:dyDescent="0.25">
      <c r="B21" s="1"/>
    </row>
    <row r="24" spans="1:32" x14ac:dyDescent="0.25">
      <c r="B24" s="19"/>
    </row>
    <row r="27" spans="1:32" x14ac:dyDescent="0.25">
      <c r="J27" s="3"/>
    </row>
    <row r="28" spans="1:32" x14ac:dyDescent="0.25">
      <c r="J28" s="3"/>
    </row>
    <row r="29" spans="1:32" x14ac:dyDescent="0.25">
      <c r="J29" s="3"/>
    </row>
    <row r="30" spans="1:32" x14ac:dyDescent="0.25">
      <c r="J30" s="3"/>
    </row>
    <row r="31" spans="1:32" x14ac:dyDescent="0.25">
      <c r="J31" s="3"/>
    </row>
    <row r="32" spans="1:32" x14ac:dyDescent="0.25">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row r="45" spans="10:10" x14ac:dyDescent="0.25">
      <c r="J45" s="3"/>
    </row>
    <row r="46" spans="10:10" x14ac:dyDescent="0.25">
      <c r="J46" s="3"/>
    </row>
    <row r="47" spans="10:10" x14ac:dyDescent="0.25">
      <c r="J47" s="3"/>
    </row>
    <row r="48" spans="10:10" x14ac:dyDescent="0.25">
      <c r="J48" s="3"/>
    </row>
    <row r="49" spans="10:10" x14ac:dyDescent="0.25">
      <c r="J49" s="3"/>
    </row>
    <row r="50" spans="10:10" x14ac:dyDescent="0.25">
      <c r="J50" s="3"/>
    </row>
    <row r="51" spans="10:10" x14ac:dyDescent="0.25">
      <c r="J51" s="3"/>
    </row>
    <row r="52" spans="10:10" x14ac:dyDescent="0.25">
      <c r="J52" s="3"/>
    </row>
    <row r="53" spans="10:10" x14ac:dyDescent="0.25">
      <c r="J53" s="3"/>
    </row>
    <row r="54" spans="10:10" x14ac:dyDescent="0.25">
      <c r="J54" s="3"/>
    </row>
    <row r="55" spans="10:10" x14ac:dyDescent="0.25">
      <c r="J55" s="3"/>
    </row>
    <row r="56" spans="10:10" x14ac:dyDescent="0.25">
      <c r="J56" s="3"/>
    </row>
  </sheetData>
  <conditionalFormatting sqref="A13">
    <cfRule type="expression" dxfId="2122" priority="117" stopIfTrue="1">
      <formula>IF(RiskSelectedNameCell2=CELL("address",$A$13),TRUE)</formula>
    </cfRule>
  </conditionalFormatting>
  <conditionalFormatting sqref="B8">
    <cfRule type="expression" dxfId="1055" priority="118" stopIfTrue="1">
      <formula>RiskIsInput</formula>
    </cfRule>
  </conditionalFormatting>
  <conditionalFormatting sqref="C8">
    <cfRule type="expression" dxfId="1054" priority="119" stopIfTrue="1">
      <formula>RiskIsInput</formula>
    </cfRule>
  </conditionalFormatting>
  <conditionalFormatting sqref="D8">
    <cfRule type="expression" dxfId="1053" priority="120" stopIfTrue="1">
      <formula>RiskIsInput</formula>
    </cfRule>
  </conditionalFormatting>
  <conditionalFormatting sqref="E8">
    <cfRule type="expression" dxfId="1052" priority="121" stopIfTrue="1">
      <formula>RiskIsInput</formula>
    </cfRule>
  </conditionalFormatting>
  <conditionalFormatting sqref="F8">
    <cfRule type="expression" dxfId="1051" priority="122" stopIfTrue="1">
      <formula>RiskIsInput</formula>
    </cfRule>
  </conditionalFormatting>
  <conditionalFormatting sqref="G8">
    <cfRule type="expression" dxfId="1050" priority="123" stopIfTrue="1">
      <formula>RiskIsInput</formula>
    </cfRule>
  </conditionalFormatting>
  <conditionalFormatting sqref="H8">
    <cfRule type="expression" dxfId="1049" priority="124" stopIfTrue="1">
      <formula>RiskIsInput</formula>
    </cfRule>
  </conditionalFormatting>
  <conditionalFormatting sqref="I8">
    <cfRule type="expression" dxfId="1048" priority="125" stopIfTrue="1">
      <formula>RiskIsInput</formula>
    </cfRule>
  </conditionalFormatting>
  <conditionalFormatting sqref="J8">
    <cfRule type="expression" dxfId="1047" priority="126" stopIfTrue="1">
      <formula>RiskIsInput</formula>
    </cfRule>
  </conditionalFormatting>
  <conditionalFormatting sqref="K8">
    <cfRule type="expression" dxfId="1046" priority="127" stopIfTrue="1">
      <formula>RiskIsInput</formula>
    </cfRule>
  </conditionalFormatting>
  <conditionalFormatting sqref="L8">
    <cfRule type="expression" dxfId="1045" priority="128" stopIfTrue="1">
      <formula>RiskIsInput</formula>
    </cfRule>
  </conditionalFormatting>
  <conditionalFormatting sqref="M8">
    <cfRule type="expression" dxfId="1044" priority="129" stopIfTrue="1">
      <formula>RiskIsInput</formula>
    </cfRule>
  </conditionalFormatting>
  <conditionalFormatting sqref="N8">
    <cfRule type="expression" dxfId="1043" priority="130" stopIfTrue="1">
      <formula>RiskIsInput</formula>
    </cfRule>
  </conditionalFormatting>
  <conditionalFormatting sqref="O8">
    <cfRule type="expression" dxfId="1042" priority="131" stopIfTrue="1">
      <formula>RiskIsInput</formula>
    </cfRule>
  </conditionalFormatting>
  <conditionalFormatting sqref="P8">
    <cfRule type="expression" dxfId="1041" priority="132" stopIfTrue="1">
      <formula>RiskIsInput</formula>
    </cfRule>
  </conditionalFormatting>
  <conditionalFormatting sqref="Q8">
    <cfRule type="expression" dxfId="1040" priority="133" stopIfTrue="1">
      <formula>RiskIsInput</formula>
    </cfRule>
  </conditionalFormatting>
  <conditionalFormatting sqref="R8">
    <cfRule type="expression" dxfId="1039" priority="134" stopIfTrue="1">
      <formula>RiskIsInput</formula>
    </cfRule>
  </conditionalFormatting>
  <conditionalFormatting sqref="S8">
    <cfRule type="expression" dxfId="1038" priority="135" stopIfTrue="1">
      <formula>RiskIsInput</formula>
    </cfRule>
  </conditionalFormatting>
  <conditionalFormatting sqref="T8">
    <cfRule type="expression" dxfId="1037" priority="136" stopIfTrue="1">
      <formula>RiskIsInput</formula>
    </cfRule>
  </conditionalFormatting>
  <conditionalFormatting sqref="U8">
    <cfRule type="expression" dxfId="1036" priority="137" stopIfTrue="1">
      <formula>RiskIsInput</formula>
    </cfRule>
  </conditionalFormatting>
  <conditionalFormatting sqref="V8">
    <cfRule type="expression" dxfId="1035" priority="138" stopIfTrue="1">
      <formula>RiskIsInput</formula>
    </cfRule>
  </conditionalFormatting>
  <conditionalFormatting sqref="W8">
    <cfRule type="expression" dxfId="1034" priority="139" stopIfTrue="1">
      <formula>RiskIsInput</formula>
    </cfRule>
  </conditionalFormatting>
  <conditionalFormatting sqref="X8">
    <cfRule type="expression" dxfId="1033" priority="140" stopIfTrue="1">
      <formula>RiskIsInput</formula>
    </cfRule>
  </conditionalFormatting>
  <conditionalFormatting sqref="Y8">
    <cfRule type="expression" dxfId="1032" priority="141" stopIfTrue="1">
      <formula>RiskIsInput</formula>
    </cfRule>
  </conditionalFormatting>
  <conditionalFormatting sqref="Z8">
    <cfRule type="expression" dxfId="1031" priority="142" stopIfTrue="1">
      <formula>RiskIsInput</formula>
    </cfRule>
  </conditionalFormatting>
  <conditionalFormatting sqref="AA8">
    <cfRule type="expression" dxfId="1030" priority="143" stopIfTrue="1">
      <formula>RiskIsInput</formula>
    </cfRule>
  </conditionalFormatting>
  <conditionalFormatting sqref="AB8">
    <cfRule type="expression" dxfId="1029" priority="144" stopIfTrue="1">
      <formula>RiskIsInput</formula>
    </cfRule>
  </conditionalFormatting>
  <conditionalFormatting sqref="AC8">
    <cfRule type="expression" dxfId="1028" priority="145" stopIfTrue="1">
      <formula>RiskIsInput</formula>
    </cfRule>
  </conditionalFormatting>
  <conditionalFormatting sqref="AD8">
    <cfRule type="expression" dxfId="1027" priority="146" stopIfTrue="1">
      <formula>RiskIsInput</formula>
    </cfRule>
  </conditionalFormatting>
  <conditionalFormatting sqref="AE8">
    <cfRule type="expression" dxfId="1026" priority="147" stopIfTrue="1">
      <formula>RiskIsInput</formula>
    </cfRule>
  </conditionalFormatting>
  <conditionalFormatting sqref="AF8">
    <cfRule type="expression" dxfId="1025" priority="148" stopIfTrue="1">
      <formula>RiskIsInput</formula>
    </cfRule>
  </conditionalFormatting>
  <conditionalFormatting sqref="B13">
    <cfRule type="expression" dxfId="1024" priority="149" stopIfTrue="1">
      <formula>RiskIsInput</formula>
    </cfRule>
  </conditionalFormatting>
  <conditionalFormatting sqref="C13">
    <cfRule type="expression" dxfId="1023" priority="150" stopIfTrue="1">
      <formula>RiskIsInput</formula>
    </cfRule>
  </conditionalFormatting>
  <conditionalFormatting sqref="D13">
    <cfRule type="expression" dxfId="1022" priority="151" stopIfTrue="1">
      <formula>RiskIsInput</formula>
    </cfRule>
  </conditionalFormatting>
  <conditionalFormatting sqref="E13">
    <cfRule type="expression" dxfId="1021" priority="152" stopIfTrue="1">
      <formula>RiskIsInput</formula>
    </cfRule>
  </conditionalFormatting>
  <conditionalFormatting sqref="F13">
    <cfRule type="expression" dxfId="1020" priority="153" stopIfTrue="1">
      <formula>RiskIsInput</formula>
    </cfRule>
  </conditionalFormatting>
  <conditionalFormatting sqref="G13">
    <cfRule type="expression" dxfId="1019" priority="154" stopIfTrue="1">
      <formula>RiskIsInput</formula>
    </cfRule>
  </conditionalFormatting>
  <conditionalFormatting sqref="H13">
    <cfRule type="expression" dxfId="1018" priority="155" stopIfTrue="1">
      <formula>RiskIsInput</formula>
    </cfRule>
  </conditionalFormatting>
  <conditionalFormatting sqref="I13">
    <cfRule type="expression" dxfId="1017" priority="156" stopIfTrue="1">
      <formula>RiskIsInput</formula>
    </cfRule>
  </conditionalFormatting>
  <conditionalFormatting sqref="J13">
    <cfRule type="expression" dxfId="1016" priority="157" stopIfTrue="1">
      <formula>RiskIsInput</formula>
    </cfRule>
  </conditionalFormatting>
  <conditionalFormatting sqref="K13">
    <cfRule type="expression" dxfId="1015" priority="158" stopIfTrue="1">
      <formula>RiskIsInput</formula>
    </cfRule>
  </conditionalFormatting>
  <conditionalFormatting sqref="L13">
    <cfRule type="expression" dxfId="1014" priority="159" stopIfTrue="1">
      <formula>RiskIsInput</formula>
    </cfRule>
  </conditionalFormatting>
  <conditionalFormatting sqref="M13">
    <cfRule type="expression" dxfId="1013" priority="160" stopIfTrue="1">
      <formula>RiskIsInput</formula>
    </cfRule>
  </conditionalFormatting>
  <conditionalFormatting sqref="N13">
    <cfRule type="expression" dxfId="1012" priority="161" stopIfTrue="1">
      <formula>RiskIsInput</formula>
    </cfRule>
  </conditionalFormatting>
  <conditionalFormatting sqref="O13">
    <cfRule type="expression" dxfId="1011" priority="162" stopIfTrue="1">
      <formula>RiskIsInput</formula>
    </cfRule>
  </conditionalFormatting>
  <conditionalFormatting sqref="P13">
    <cfRule type="expression" dxfId="1010" priority="163" stopIfTrue="1">
      <formula>RiskIsInput</formula>
    </cfRule>
  </conditionalFormatting>
  <conditionalFormatting sqref="Q13">
    <cfRule type="expression" dxfId="1009" priority="164" stopIfTrue="1">
      <formula>RiskIsInput</formula>
    </cfRule>
  </conditionalFormatting>
  <conditionalFormatting sqref="R13">
    <cfRule type="expression" dxfId="1008" priority="165" stopIfTrue="1">
      <formula>RiskIsInput</formula>
    </cfRule>
  </conditionalFormatting>
  <conditionalFormatting sqref="S13">
    <cfRule type="expression" dxfId="1007" priority="166" stopIfTrue="1">
      <formula>RiskIsInput</formula>
    </cfRule>
  </conditionalFormatting>
  <conditionalFormatting sqref="T13">
    <cfRule type="expression" dxfId="1006" priority="167" stopIfTrue="1">
      <formula>RiskIsInput</formula>
    </cfRule>
  </conditionalFormatting>
  <conditionalFormatting sqref="U13">
    <cfRule type="expression" dxfId="1005" priority="168" stopIfTrue="1">
      <formula>RiskIsInput</formula>
    </cfRule>
  </conditionalFormatting>
  <conditionalFormatting sqref="V13">
    <cfRule type="expression" dxfId="1004" priority="169" stopIfTrue="1">
      <formula>RiskIsInput</formula>
    </cfRule>
  </conditionalFormatting>
  <conditionalFormatting sqref="W13">
    <cfRule type="expression" dxfId="1003" priority="170" stopIfTrue="1">
      <formula>RiskIsInput</formula>
    </cfRule>
  </conditionalFormatting>
  <conditionalFormatting sqref="X13">
    <cfRule type="expression" dxfId="1002" priority="171" stopIfTrue="1">
      <formula>RiskIsInput</formula>
    </cfRule>
  </conditionalFormatting>
  <conditionalFormatting sqref="Y13">
    <cfRule type="expression" dxfId="1001" priority="172" stopIfTrue="1">
      <formula>RiskIsInput</formula>
    </cfRule>
  </conditionalFormatting>
  <conditionalFormatting sqref="Z13">
    <cfRule type="expression" dxfId="1000" priority="173" stopIfTrue="1">
      <formula>RiskIsInput</formula>
    </cfRule>
  </conditionalFormatting>
  <conditionalFormatting sqref="AA13">
    <cfRule type="expression" dxfId="999" priority="174" stopIfTrue="1">
      <formula>RiskIsInput</formula>
    </cfRule>
  </conditionalFormatting>
  <conditionalFormatting sqref="AB13">
    <cfRule type="expression" dxfId="998" priority="175" stopIfTrue="1">
      <formula>RiskIsInput</formula>
    </cfRule>
  </conditionalFormatting>
  <conditionalFormatting sqref="AC13">
    <cfRule type="expression" dxfId="997" priority="176" stopIfTrue="1">
      <formula>RiskIsInput</formula>
    </cfRule>
  </conditionalFormatting>
  <conditionalFormatting sqref="AD13">
    <cfRule type="expression" dxfId="996" priority="177" stopIfTrue="1">
      <formula>RiskIsInput</formula>
    </cfRule>
  </conditionalFormatting>
  <conditionalFormatting sqref="AE13">
    <cfRule type="expression" dxfId="995" priority="178" stopIfTrue="1">
      <formula>RiskIsInput</formula>
    </cfRule>
  </conditionalFormatting>
  <conditionalFormatting sqref="AF13">
    <cfRule type="expression" dxfId="994" priority="179" stopIfTrue="1">
      <formula>RiskIsInput</formula>
    </cfRule>
  </conditionalFormatting>
  <conditionalFormatting sqref="B15">
    <cfRule type="expression" dxfId="993" priority="180" stopIfTrue="1">
      <formula>RiskIsOutput</formula>
    </cfRule>
  </conditionalFormatting>
  <conditionalFormatting sqref="C15">
    <cfRule type="expression" dxfId="992" priority="181" stopIfTrue="1">
      <formula>RiskIsOutput</formula>
    </cfRule>
  </conditionalFormatting>
  <conditionalFormatting sqref="D15">
    <cfRule type="expression" dxfId="991" priority="182" stopIfTrue="1">
      <formula>RiskIsOutput</formula>
    </cfRule>
  </conditionalFormatting>
  <conditionalFormatting sqref="E15">
    <cfRule type="expression" dxfId="990" priority="183" stopIfTrue="1">
      <formula>RiskIsOutput</formula>
    </cfRule>
  </conditionalFormatting>
  <conditionalFormatting sqref="F15">
    <cfRule type="expression" dxfId="989" priority="184" stopIfTrue="1">
      <formula>RiskIsOutput</formula>
    </cfRule>
  </conditionalFormatting>
  <conditionalFormatting sqref="G15">
    <cfRule type="expression" dxfId="988" priority="185" stopIfTrue="1">
      <formula>RiskIsOutput</formula>
    </cfRule>
  </conditionalFormatting>
  <conditionalFormatting sqref="H15">
    <cfRule type="expression" dxfId="987" priority="186" stopIfTrue="1">
      <formula>RiskIsOutput</formula>
    </cfRule>
  </conditionalFormatting>
  <conditionalFormatting sqref="I15">
    <cfRule type="expression" dxfId="986" priority="187" stopIfTrue="1">
      <formula>RiskIsOutput</formula>
    </cfRule>
  </conditionalFormatting>
  <conditionalFormatting sqref="J15">
    <cfRule type="expression" dxfId="985" priority="188" stopIfTrue="1">
      <formula>RiskIsOutput</formula>
    </cfRule>
  </conditionalFormatting>
  <conditionalFormatting sqref="K15">
    <cfRule type="expression" dxfId="984" priority="189" stopIfTrue="1">
      <formula>RiskIsOutput</formula>
    </cfRule>
  </conditionalFormatting>
  <conditionalFormatting sqref="L15">
    <cfRule type="expression" dxfId="983" priority="190" stopIfTrue="1">
      <formula>RiskIsOutput</formula>
    </cfRule>
  </conditionalFormatting>
  <conditionalFormatting sqref="M15">
    <cfRule type="expression" dxfId="982" priority="191" stopIfTrue="1">
      <formula>RiskIsOutput</formula>
    </cfRule>
  </conditionalFormatting>
  <conditionalFormatting sqref="N15">
    <cfRule type="expression" dxfId="981" priority="192" stopIfTrue="1">
      <formula>RiskIsOutput</formula>
    </cfRule>
  </conditionalFormatting>
  <conditionalFormatting sqref="O15">
    <cfRule type="expression" dxfId="980" priority="193" stopIfTrue="1">
      <formula>RiskIsOutput</formula>
    </cfRule>
  </conditionalFormatting>
  <conditionalFormatting sqref="P15">
    <cfRule type="expression" dxfId="979" priority="194" stopIfTrue="1">
      <formula>RiskIsOutput</formula>
    </cfRule>
  </conditionalFormatting>
  <conditionalFormatting sqref="Q15">
    <cfRule type="expression" dxfId="978" priority="195" stopIfTrue="1">
      <formula>RiskIsOutput</formula>
    </cfRule>
  </conditionalFormatting>
  <conditionalFormatting sqref="R15">
    <cfRule type="expression" dxfId="977" priority="196" stopIfTrue="1">
      <formula>RiskIsOutput</formula>
    </cfRule>
  </conditionalFormatting>
  <conditionalFormatting sqref="S15">
    <cfRule type="expression" dxfId="976" priority="197" stopIfTrue="1">
      <formula>RiskIsOutput</formula>
    </cfRule>
  </conditionalFormatting>
  <conditionalFormatting sqref="T15">
    <cfRule type="expression" dxfId="975" priority="198" stopIfTrue="1">
      <formula>RiskIsOutput</formula>
    </cfRule>
  </conditionalFormatting>
  <conditionalFormatting sqref="U15">
    <cfRule type="expression" dxfId="974" priority="199" stopIfTrue="1">
      <formula>RiskIsOutput</formula>
    </cfRule>
  </conditionalFormatting>
  <conditionalFormatting sqref="V15">
    <cfRule type="expression" dxfId="973" priority="200" stopIfTrue="1">
      <formula>RiskIsOutput</formula>
    </cfRule>
  </conditionalFormatting>
  <conditionalFormatting sqref="W15">
    <cfRule type="expression" dxfId="972" priority="201" stopIfTrue="1">
      <formula>RiskIsOutput</formula>
    </cfRule>
  </conditionalFormatting>
  <conditionalFormatting sqref="X15">
    <cfRule type="expression" dxfId="971" priority="202" stopIfTrue="1">
      <formula>RiskIsOutput</formula>
    </cfRule>
  </conditionalFormatting>
  <conditionalFormatting sqref="Y15">
    <cfRule type="expression" dxfId="970" priority="203" stopIfTrue="1">
      <formula>RiskIsOutput</formula>
    </cfRule>
  </conditionalFormatting>
  <conditionalFormatting sqref="Z15">
    <cfRule type="expression" dxfId="969" priority="204" stopIfTrue="1">
      <formula>RiskIsOutput</formula>
    </cfRule>
  </conditionalFormatting>
  <conditionalFormatting sqref="AA15">
    <cfRule type="expression" dxfId="968" priority="205" stopIfTrue="1">
      <formula>RiskIsOutput</formula>
    </cfRule>
  </conditionalFormatting>
  <conditionalFormatting sqref="AB15">
    <cfRule type="expression" dxfId="967" priority="206" stopIfTrue="1">
      <formula>RiskIsOutput</formula>
    </cfRule>
  </conditionalFormatting>
  <conditionalFormatting sqref="AC15">
    <cfRule type="expression" dxfId="966" priority="207" stopIfTrue="1">
      <formula>RiskIsOutput</formula>
    </cfRule>
  </conditionalFormatting>
  <conditionalFormatting sqref="AD15">
    <cfRule type="expression" dxfId="965" priority="208" stopIfTrue="1">
      <formula>RiskIsOutput</formula>
    </cfRule>
  </conditionalFormatting>
  <conditionalFormatting sqref="AE15">
    <cfRule type="expression" dxfId="964" priority="209" stopIfTrue="1">
      <formula>RiskIsOutput</formula>
    </cfRule>
  </conditionalFormatting>
  <conditionalFormatting sqref="AF15">
    <cfRule type="expression" dxfId="963" priority="210" stopIfTrue="1">
      <formula>RiskIsOutput</formula>
    </cfRule>
  </conditionalFormatting>
  <conditionalFormatting sqref="B16">
    <cfRule type="expression" dxfId="962" priority="211" stopIfTrue="1">
      <formula>RiskIsOutput</formula>
    </cfRule>
  </conditionalFormatting>
  <conditionalFormatting sqref="C16">
    <cfRule type="expression" dxfId="961" priority="212" stopIfTrue="1">
      <formula>RiskIsOutput</formula>
    </cfRule>
  </conditionalFormatting>
  <conditionalFormatting sqref="D16">
    <cfRule type="expression" dxfId="960" priority="213" stopIfTrue="1">
      <formula>RiskIsOutput</formula>
    </cfRule>
  </conditionalFormatting>
  <conditionalFormatting sqref="E16">
    <cfRule type="expression" dxfId="959" priority="214" stopIfTrue="1">
      <formula>RiskIsOutput</formula>
    </cfRule>
  </conditionalFormatting>
  <conditionalFormatting sqref="F16">
    <cfRule type="expression" dxfId="958" priority="215" stopIfTrue="1">
      <formula>RiskIsOutput</formula>
    </cfRule>
  </conditionalFormatting>
  <conditionalFormatting sqref="G16">
    <cfRule type="expression" dxfId="957" priority="216" stopIfTrue="1">
      <formula>RiskIsOutput</formula>
    </cfRule>
  </conditionalFormatting>
  <conditionalFormatting sqref="H16">
    <cfRule type="expression" dxfId="956" priority="217" stopIfTrue="1">
      <formula>RiskIsOutput</formula>
    </cfRule>
  </conditionalFormatting>
  <conditionalFormatting sqref="I16">
    <cfRule type="expression" dxfId="955" priority="218" stopIfTrue="1">
      <formula>RiskIsOutput</formula>
    </cfRule>
  </conditionalFormatting>
  <conditionalFormatting sqref="J16">
    <cfRule type="expression" dxfId="954" priority="219" stopIfTrue="1">
      <formula>RiskIsOutput</formula>
    </cfRule>
  </conditionalFormatting>
  <conditionalFormatting sqref="K16">
    <cfRule type="expression" dxfId="953" priority="220" stopIfTrue="1">
      <formula>RiskIsOutput</formula>
    </cfRule>
  </conditionalFormatting>
  <conditionalFormatting sqref="L16">
    <cfRule type="expression" dxfId="952" priority="221" stopIfTrue="1">
      <formula>RiskIsOutput</formula>
    </cfRule>
  </conditionalFormatting>
  <conditionalFormatting sqref="M16">
    <cfRule type="expression" dxfId="951" priority="222" stopIfTrue="1">
      <formula>RiskIsOutput</formula>
    </cfRule>
  </conditionalFormatting>
  <conditionalFormatting sqref="N16">
    <cfRule type="expression" dxfId="950" priority="223" stopIfTrue="1">
      <formula>RiskIsOutput</formula>
    </cfRule>
  </conditionalFormatting>
  <conditionalFormatting sqref="O16">
    <cfRule type="expression" dxfId="949" priority="224" stopIfTrue="1">
      <formula>RiskIsOutput</formula>
    </cfRule>
  </conditionalFormatting>
  <conditionalFormatting sqref="P16">
    <cfRule type="expression" dxfId="948" priority="225" stopIfTrue="1">
      <formula>RiskIsOutput</formula>
    </cfRule>
  </conditionalFormatting>
  <conditionalFormatting sqref="Q16">
    <cfRule type="expression" dxfId="947" priority="226" stopIfTrue="1">
      <formula>RiskIsOutput</formula>
    </cfRule>
  </conditionalFormatting>
  <conditionalFormatting sqref="R16">
    <cfRule type="expression" dxfId="946" priority="227" stopIfTrue="1">
      <formula>RiskIsOutput</formula>
    </cfRule>
  </conditionalFormatting>
  <conditionalFormatting sqref="S16">
    <cfRule type="expression" dxfId="945" priority="228" stopIfTrue="1">
      <formula>RiskIsOutput</formula>
    </cfRule>
  </conditionalFormatting>
  <conditionalFormatting sqref="T16">
    <cfRule type="expression" dxfId="944" priority="229" stopIfTrue="1">
      <formula>RiskIsOutput</formula>
    </cfRule>
  </conditionalFormatting>
  <conditionalFormatting sqref="U16">
    <cfRule type="expression" dxfId="943" priority="230" stopIfTrue="1">
      <formula>RiskIsOutput</formula>
    </cfRule>
  </conditionalFormatting>
  <conditionalFormatting sqref="V16">
    <cfRule type="expression" dxfId="942" priority="231" stopIfTrue="1">
      <formula>RiskIsOutput</formula>
    </cfRule>
  </conditionalFormatting>
  <conditionalFormatting sqref="W16">
    <cfRule type="expression" dxfId="941" priority="232" stopIfTrue="1">
      <formula>RiskIsOutput</formula>
    </cfRule>
  </conditionalFormatting>
  <conditionalFormatting sqref="X16">
    <cfRule type="expression" dxfId="940" priority="233" stopIfTrue="1">
      <formula>RiskIsOutput</formula>
    </cfRule>
  </conditionalFormatting>
  <conditionalFormatting sqref="Y16">
    <cfRule type="expression" dxfId="939" priority="234" stopIfTrue="1">
      <formula>RiskIsOutput</formula>
    </cfRule>
  </conditionalFormatting>
  <conditionalFormatting sqref="Z16">
    <cfRule type="expression" dxfId="938" priority="235" stopIfTrue="1">
      <formula>RiskIsOutput</formula>
    </cfRule>
  </conditionalFormatting>
  <conditionalFormatting sqref="AA16">
    <cfRule type="expression" dxfId="937" priority="236" stopIfTrue="1">
      <formula>RiskIsOutput</formula>
    </cfRule>
  </conditionalFormatting>
  <conditionalFormatting sqref="AB16">
    <cfRule type="expression" dxfId="936" priority="237" stopIfTrue="1">
      <formula>RiskIsOutput</formula>
    </cfRule>
  </conditionalFormatting>
  <conditionalFormatting sqref="AC16">
    <cfRule type="expression" dxfId="935" priority="238" stopIfTrue="1">
      <formula>RiskIsOutput</formula>
    </cfRule>
  </conditionalFormatting>
  <conditionalFormatting sqref="AD16">
    <cfRule type="expression" dxfId="934" priority="239" stopIfTrue="1">
      <formula>RiskIsOutput</formula>
    </cfRule>
  </conditionalFormatting>
  <conditionalFormatting sqref="AE16">
    <cfRule type="expression" dxfId="933" priority="240" stopIfTrue="1">
      <formula>RiskIsOutput</formula>
    </cfRule>
  </conditionalFormatting>
  <conditionalFormatting sqref="AF16">
    <cfRule type="expression" dxfId="932" priority="241" stopIfTrue="1">
      <formula>RiskIsOutput</formula>
    </cfRule>
  </conditionalFormatting>
  <conditionalFormatting sqref="B20">
    <cfRule type="expression" dxfId="931" priority="242" stopIfTrue="1">
      <formula>RiskIsOutput</formula>
    </cfRule>
  </conditionalFormatting>
  <conditionalFormatting sqref="C20">
    <cfRule type="expression" dxfId="930" priority="243" stopIfTrue="1">
      <formula>RiskIsOutput</formula>
    </cfRule>
  </conditionalFormatting>
  <conditionalFormatting sqref="D20">
    <cfRule type="expression" dxfId="929" priority="244" stopIfTrue="1">
      <formula>RiskIsOutput</formula>
    </cfRule>
  </conditionalFormatting>
  <conditionalFormatting sqref="E20">
    <cfRule type="expression" dxfId="928" priority="245" stopIfTrue="1">
      <formula>RiskIsOutput</formula>
    </cfRule>
  </conditionalFormatting>
  <conditionalFormatting sqref="F20">
    <cfRule type="expression" dxfId="927" priority="246" stopIfTrue="1">
      <formula>RiskIsOutput</formula>
    </cfRule>
  </conditionalFormatting>
  <conditionalFormatting sqref="G20">
    <cfRule type="expression" dxfId="926" priority="247" stopIfTrue="1">
      <formula>RiskIsOutput</formula>
    </cfRule>
  </conditionalFormatting>
  <conditionalFormatting sqref="H20">
    <cfRule type="expression" dxfId="925" priority="248" stopIfTrue="1">
      <formula>RiskIsOutput</formula>
    </cfRule>
  </conditionalFormatting>
  <conditionalFormatting sqref="I20">
    <cfRule type="expression" dxfId="924" priority="249" stopIfTrue="1">
      <formula>RiskIsOutput</formula>
    </cfRule>
  </conditionalFormatting>
  <conditionalFormatting sqref="J20">
    <cfRule type="expression" dxfId="923" priority="250" stopIfTrue="1">
      <formula>RiskIsOutput</formula>
    </cfRule>
  </conditionalFormatting>
  <conditionalFormatting sqref="K20">
    <cfRule type="expression" dxfId="922" priority="251" stopIfTrue="1">
      <formula>RiskIsOutput</formula>
    </cfRule>
  </conditionalFormatting>
  <conditionalFormatting sqref="L20">
    <cfRule type="expression" dxfId="921" priority="252" stopIfTrue="1">
      <formula>RiskIsOutput</formula>
    </cfRule>
  </conditionalFormatting>
  <conditionalFormatting sqref="M20">
    <cfRule type="expression" dxfId="920" priority="253" stopIfTrue="1">
      <formula>RiskIsOutput</formula>
    </cfRule>
  </conditionalFormatting>
  <conditionalFormatting sqref="N20">
    <cfRule type="expression" dxfId="919" priority="254" stopIfTrue="1">
      <formula>RiskIsOutput</formula>
    </cfRule>
  </conditionalFormatting>
  <conditionalFormatting sqref="O20">
    <cfRule type="expression" dxfId="918" priority="255" stopIfTrue="1">
      <formula>RiskIsOutput</formula>
    </cfRule>
  </conditionalFormatting>
  <conditionalFormatting sqref="P20">
    <cfRule type="expression" dxfId="917" priority="256" stopIfTrue="1">
      <formula>RiskIsOutput</formula>
    </cfRule>
  </conditionalFormatting>
  <conditionalFormatting sqref="Q20">
    <cfRule type="expression" dxfId="916" priority="257" stopIfTrue="1">
      <formula>RiskIsOutput</formula>
    </cfRule>
  </conditionalFormatting>
  <conditionalFormatting sqref="R20">
    <cfRule type="expression" dxfId="915" priority="258" stopIfTrue="1">
      <formula>RiskIsOutput</formula>
    </cfRule>
  </conditionalFormatting>
  <conditionalFormatting sqref="S20">
    <cfRule type="expression" dxfId="914" priority="259" stopIfTrue="1">
      <formula>RiskIsOutput</formula>
    </cfRule>
  </conditionalFormatting>
  <conditionalFormatting sqref="T20">
    <cfRule type="expression" dxfId="913" priority="260" stopIfTrue="1">
      <formula>RiskIsOutput</formula>
    </cfRule>
  </conditionalFormatting>
  <conditionalFormatting sqref="U20">
    <cfRule type="expression" dxfId="912" priority="261" stopIfTrue="1">
      <formula>RiskIsOutput</formula>
    </cfRule>
  </conditionalFormatting>
  <conditionalFormatting sqref="V20">
    <cfRule type="expression" dxfId="911" priority="262" stopIfTrue="1">
      <formula>RiskIsOutput</formula>
    </cfRule>
  </conditionalFormatting>
  <conditionalFormatting sqref="W20">
    <cfRule type="expression" dxfId="910" priority="263" stopIfTrue="1">
      <formula>RiskIsOutput</formula>
    </cfRule>
  </conditionalFormatting>
  <conditionalFormatting sqref="X20">
    <cfRule type="expression" dxfId="909" priority="264" stopIfTrue="1">
      <formula>RiskIsOutput</formula>
    </cfRule>
  </conditionalFormatting>
  <conditionalFormatting sqref="Y20">
    <cfRule type="expression" dxfId="908" priority="265" stopIfTrue="1">
      <formula>RiskIsOutput</formula>
    </cfRule>
  </conditionalFormatting>
  <conditionalFormatting sqref="Z20">
    <cfRule type="expression" dxfId="907" priority="266" stopIfTrue="1">
      <formula>RiskIsOutput</formula>
    </cfRule>
  </conditionalFormatting>
  <conditionalFormatting sqref="AA20">
    <cfRule type="expression" dxfId="906" priority="267" stopIfTrue="1">
      <formula>RiskIsOutput</formula>
    </cfRule>
  </conditionalFormatting>
  <conditionalFormatting sqref="AB20">
    <cfRule type="expression" dxfId="905" priority="268" stopIfTrue="1">
      <formula>RiskIsOutput</formula>
    </cfRule>
  </conditionalFormatting>
  <conditionalFormatting sqref="AC20">
    <cfRule type="expression" dxfId="904" priority="269" stopIfTrue="1">
      <formula>RiskIsOutput</formula>
    </cfRule>
  </conditionalFormatting>
  <conditionalFormatting sqref="AD20">
    <cfRule type="expression" dxfId="903" priority="270" stopIfTrue="1">
      <formula>RiskIsOutput</formula>
    </cfRule>
  </conditionalFormatting>
  <conditionalFormatting sqref="AE20">
    <cfRule type="expression" dxfId="902" priority="271" stopIfTrue="1">
      <formula>RiskIsOutput</formula>
    </cfRule>
  </conditionalFormatting>
  <conditionalFormatting sqref="AF20">
    <cfRule type="expression" dxfId="901" priority="272" stopIfTrue="1">
      <formula>RiskIsOutput</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zoomScaleNormal="100" workbookViewId="0"/>
  </sheetViews>
  <sheetFormatPr defaultRowHeight="15" x14ac:dyDescent="0.25"/>
  <cols>
    <col min="1" max="1" width="16.42578125" bestFit="1" customWidth="1"/>
    <col min="2" max="2" width="15.5703125" bestFit="1" customWidth="1"/>
    <col min="3" max="8" width="13.5703125" bestFit="1" customWidth="1"/>
    <col min="9" max="32" width="11.85546875" bestFit="1" customWidth="1"/>
  </cols>
  <sheetData>
    <row r="1" spans="1:32" ht="60" x14ac:dyDescent="0.25">
      <c r="A1" s="12" t="s">
        <v>22</v>
      </c>
    </row>
    <row r="2" spans="1:32" x14ac:dyDescent="0.25">
      <c r="B2">
        <v>1995</v>
      </c>
      <c r="C2">
        <v>1996</v>
      </c>
      <c r="D2">
        <v>1997</v>
      </c>
      <c r="E2">
        <v>1998</v>
      </c>
      <c r="F2">
        <v>1999</v>
      </c>
      <c r="G2">
        <v>2000</v>
      </c>
      <c r="H2">
        <v>2001</v>
      </c>
      <c r="I2">
        <v>2002</v>
      </c>
      <c r="J2">
        <v>2003</v>
      </c>
      <c r="K2">
        <v>2004</v>
      </c>
      <c r="L2">
        <v>2005</v>
      </c>
      <c r="M2">
        <v>2006</v>
      </c>
      <c r="N2">
        <v>2007</v>
      </c>
      <c r="O2">
        <v>2008</v>
      </c>
      <c r="P2">
        <v>2009</v>
      </c>
      <c r="Q2">
        <v>2010</v>
      </c>
      <c r="R2">
        <v>2011</v>
      </c>
      <c r="S2">
        <v>2012</v>
      </c>
      <c r="T2">
        <v>2013</v>
      </c>
      <c r="U2">
        <v>2014</v>
      </c>
      <c r="V2">
        <v>2015</v>
      </c>
      <c r="W2">
        <v>2016</v>
      </c>
      <c r="X2">
        <v>2017</v>
      </c>
      <c r="Y2">
        <v>2018</v>
      </c>
      <c r="Z2">
        <v>2019</v>
      </c>
      <c r="AA2">
        <v>2020</v>
      </c>
      <c r="AB2">
        <v>2021</v>
      </c>
      <c r="AC2">
        <v>2022</v>
      </c>
      <c r="AD2">
        <v>2023</v>
      </c>
      <c r="AE2">
        <v>2024</v>
      </c>
      <c r="AF2">
        <v>2025</v>
      </c>
    </row>
    <row r="4" spans="1:32" x14ac:dyDescent="0.25">
      <c r="A4" t="s">
        <v>0</v>
      </c>
      <c r="B4" s="6">
        <v>110.5</v>
      </c>
      <c r="C4" s="6">
        <v>110.5</v>
      </c>
      <c r="D4" s="6">
        <v>110.5</v>
      </c>
      <c r="E4" s="6">
        <v>110.5</v>
      </c>
      <c r="F4" s="6">
        <v>110.5</v>
      </c>
      <c r="G4" s="6">
        <v>110.5</v>
      </c>
      <c r="H4" s="6">
        <v>110.5</v>
      </c>
      <c r="I4" s="6">
        <v>110.5</v>
      </c>
      <c r="J4" s="6">
        <v>110.5</v>
      </c>
      <c r="K4" s="6">
        <v>110.5</v>
      </c>
      <c r="L4" s="6">
        <v>110.5</v>
      </c>
      <c r="M4" s="6">
        <v>110.5</v>
      </c>
      <c r="N4" s="6">
        <v>110.5</v>
      </c>
      <c r="O4" s="6">
        <v>110.5</v>
      </c>
      <c r="P4" s="6">
        <v>110.5</v>
      </c>
      <c r="Q4" s="6">
        <v>110.5</v>
      </c>
      <c r="R4" s="6">
        <v>110.5</v>
      </c>
      <c r="S4" s="6">
        <v>110.5</v>
      </c>
      <c r="T4" s="6">
        <v>110.5</v>
      </c>
      <c r="U4" s="6">
        <v>110.5</v>
      </c>
      <c r="V4" s="6">
        <v>110.5</v>
      </c>
      <c r="W4" s="6">
        <v>110.5</v>
      </c>
      <c r="X4" s="6">
        <v>110.5</v>
      </c>
      <c r="Y4" s="6">
        <v>110.5</v>
      </c>
      <c r="Z4" s="6">
        <v>110.5</v>
      </c>
      <c r="AA4" s="6">
        <v>110.5</v>
      </c>
      <c r="AB4" s="6">
        <v>110.5</v>
      </c>
      <c r="AC4" s="6">
        <v>110.5</v>
      </c>
      <c r="AD4" s="6">
        <v>110.5</v>
      </c>
      <c r="AE4" s="6">
        <v>110.5</v>
      </c>
      <c r="AF4" s="6">
        <v>110.5</v>
      </c>
    </row>
    <row r="5" spans="1:32" x14ac:dyDescent="0.25">
      <c r="A5" t="s">
        <v>9</v>
      </c>
      <c r="B5" s="3">
        <v>34.4</v>
      </c>
      <c r="C5" s="3">
        <v>34.4</v>
      </c>
      <c r="D5" s="3">
        <v>34.4</v>
      </c>
      <c r="E5" s="3">
        <v>34.4</v>
      </c>
      <c r="F5" s="3">
        <v>34.4</v>
      </c>
      <c r="G5" s="3">
        <v>34.4</v>
      </c>
      <c r="H5" s="3">
        <v>34.4</v>
      </c>
      <c r="I5" s="3">
        <v>34.4</v>
      </c>
      <c r="J5" s="3">
        <v>34.4</v>
      </c>
      <c r="K5" s="3">
        <v>34.4</v>
      </c>
      <c r="L5" s="3">
        <v>34.4</v>
      </c>
      <c r="M5" s="3">
        <v>34.4</v>
      </c>
      <c r="N5" s="3">
        <v>34.4</v>
      </c>
      <c r="O5" s="3">
        <v>34.4</v>
      </c>
      <c r="P5" s="3">
        <v>34.4</v>
      </c>
      <c r="Q5" s="3">
        <v>34.4</v>
      </c>
      <c r="R5" s="3">
        <v>34.4</v>
      </c>
      <c r="S5" s="3">
        <v>34.4</v>
      </c>
      <c r="T5" s="3">
        <v>34.4</v>
      </c>
      <c r="U5" s="3">
        <v>34.4</v>
      </c>
      <c r="V5" s="3">
        <v>34.4</v>
      </c>
      <c r="W5" s="3">
        <v>34.4</v>
      </c>
      <c r="X5" s="3">
        <v>34.4</v>
      </c>
      <c r="Y5" s="3">
        <v>34.4</v>
      </c>
      <c r="Z5" s="3">
        <v>34.4</v>
      </c>
      <c r="AA5" s="3">
        <v>34.4</v>
      </c>
      <c r="AB5" s="3">
        <v>34.4</v>
      </c>
      <c r="AC5" s="3">
        <v>34.4</v>
      </c>
      <c r="AD5" s="3">
        <v>34.4</v>
      </c>
      <c r="AE5" s="3">
        <v>34.4</v>
      </c>
      <c r="AF5" s="3">
        <v>34.4</v>
      </c>
    </row>
    <row r="6" spans="1:32" x14ac:dyDescent="0.25">
      <c r="A6" t="s">
        <v>20</v>
      </c>
      <c r="B6" s="4">
        <v>0</v>
      </c>
      <c r="C6" s="4">
        <v>0</v>
      </c>
      <c r="D6" s="4">
        <v>-2</v>
      </c>
      <c r="E6" s="4">
        <v>-1</v>
      </c>
      <c r="F6" s="4">
        <v>0</v>
      </c>
      <c r="G6" s="4">
        <v>-1</v>
      </c>
      <c r="H6" s="4">
        <v>2</v>
      </c>
      <c r="I6" s="4">
        <v>0</v>
      </c>
      <c r="J6" s="4">
        <v>-1</v>
      </c>
      <c r="K6" s="4">
        <v>3</v>
      </c>
      <c r="L6" s="4">
        <v>5</v>
      </c>
      <c r="M6" s="4">
        <v>2</v>
      </c>
      <c r="N6" s="4">
        <v>0</v>
      </c>
      <c r="O6" s="4">
        <v>-2</v>
      </c>
      <c r="P6" s="4">
        <v>-1</v>
      </c>
      <c r="Q6" s="4">
        <v>1</v>
      </c>
      <c r="R6" s="4">
        <v>1</v>
      </c>
      <c r="S6" s="4">
        <v>0</v>
      </c>
      <c r="T6" s="4">
        <v>2</v>
      </c>
      <c r="U6" s="4">
        <v>3</v>
      </c>
      <c r="V6" s="4">
        <v>1</v>
      </c>
      <c r="W6" s="4">
        <v>-1</v>
      </c>
      <c r="X6" s="4">
        <v>-2</v>
      </c>
      <c r="Y6" s="4">
        <v>2</v>
      </c>
      <c r="Z6" s="4">
        <v>1</v>
      </c>
      <c r="AA6" s="4">
        <v>3</v>
      </c>
      <c r="AB6" s="4">
        <v>1</v>
      </c>
      <c r="AC6" s="4">
        <v>2</v>
      </c>
      <c r="AD6" s="4">
        <v>1</v>
      </c>
      <c r="AE6" s="8">
        <v>0</v>
      </c>
      <c r="AF6" s="9">
        <v>0</v>
      </c>
    </row>
    <row r="7" spans="1:32" x14ac:dyDescent="0.25">
      <c r="A7" t="s">
        <v>8</v>
      </c>
      <c r="B7" s="3">
        <f>B5+B6</f>
        <v>34.4</v>
      </c>
      <c r="C7" s="3">
        <f t="shared" ref="C7:AF7" si="0">C5+C6</f>
        <v>34.4</v>
      </c>
      <c r="D7" s="3">
        <f t="shared" si="0"/>
        <v>32.4</v>
      </c>
      <c r="E7" s="3">
        <f t="shared" si="0"/>
        <v>33.4</v>
      </c>
      <c r="F7" s="3">
        <f t="shared" si="0"/>
        <v>34.4</v>
      </c>
      <c r="G7" s="3">
        <f t="shared" si="0"/>
        <v>33.4</v>
      </c>
      <c r="H7" s="3">
        <f t="shared" si="0"/>
        <v>36.4</v>
      </c>
      <c r="I7" s="3">
        <f t="shared" si="0"/>
        <v>34.4</v>
      </c>
      <c r="J7" s="3">
        <f t="shared" si="0"/>
        <v>33.4</v>
      </c>
      <c r="K7" s="3">
        <f t="shared" si="0"/>
        <v>37.4</v>
      </c>
      <c r="L7" s="3">
        <f t="shared" si="0"/>
        <v>39.4</v>
      </c>
      <c r="M7" s="3">
        <f t="shared" si="0"/>
        <v>36.4</v>
      </c>
      <c r="N7" s="3">
        <f t="shared" si="0"/>
        <v>34.4</v>
      </c>
      <c r="O7" s="3">
        <f t="shared" si="0"/>
        <v>32.4</v>
      </c>
      <c r="P7" s="3">
        <f t="shared" si="0"/>
        <v>33.4</v>
      </c>
      <c r="Q7" s="3">
        <f t="shared" si="0"/>
        <v>35.4</v>
      </c>
      <c r="R7" s="3">
        <f t="shared" si="0"/>
        <v>35.4</v>
      </c>
      <c r="S7" s="3">
        <f t="shared" si="0"/>
        <v>34.4</v>
      </c>
      <c r="T7" s="3">
        <f t="shared" si="0"/>
        <v>36.4</v>
      </c>
      <c r="U7" s="3">
        <f t="shared" si="0"/>
        <v>37.4</v>
      </c>
      <c r="V7" s="3">
        <f t="shared" si="0"/>
        <v>35.4</v>
      </c>
      <c r="W7" s="3">
        <f t="shared" si="0"/>
        <v>33.4</v>
      </c>
      <c r="X7" s="3">
        <f t="shared" si="0"/>
        <v>32.4</v>
      </c>
      <c r="Y7" s="3">
        <f t="shared" si="0"/>
        <v>36.4</v>
      </c>
      <c r="Z7" s="3">
        <f t="shared" si="0"/>
        <v>35.4</v>
      </c>
      <c r="AA7" s="3">
        <f t="shared" si="0"/>
        <v>37.4</v>
      </c>
      <c r="AB7" s="3">
        <f t="shared" si="0"/>
        <v>35.4</v>
      </c>
      <c r="AC7" s="3">
        <f t="shared" si="0"/>
        <v>36.4</v>
      </c>
      <c r="AD7" s="3">
        <f t="shared" si="0"/>
        <v>35.4</v>
      </c>
      <c r="AE7" s="3">
        <f t="shared" si="0"/>
        <v>34.4</v>
      </c>
      <c r="AF7" s="3">
        <f t="shared" si="0"/>
        <v>34.4</v>
      </c>
    </row>
    <row r="8" spans="1:32" x14ac:dyDescent="0.25">
      <c r="A8" t="s">
        <v>10</v>
      </c>
      <c r="B8">
        <f>B7</f>
        <v>34.4</v>
      </c>
      <c r="C8">
        <f>C7</f>
        <v>34.4</v>
      </c>
      <c r="D8">
        <f>D7</f>
        <v>32.4</v>
      </c>
      <c r="E8">
        <f>E7</f>
        <v>33.4</v>
      </c>
      <c r="F8">
        <f>F7</f>
        <v>34.4</v>
      </c>
      <c r="G8">
        <f>G7</f>
        <v>33.4</v>
      </c>
      <c r="H8">
        <f>H7</f>
        <v>36.4</v>
      </c>
      <c r="I8">
        <f>I7</f>
        <v>34.4</v>
      </c>
      <c r="J8">
        <f>J7</f>
        <v>33.4</v>
      </c>
      <c r="K8">
        <f>K7</f>
        <v>37.4</v>
      </c>
      <c r="L8">
        <f>L7</f>
        <v>39.4</v>
      </c>
      <c r="M8">
        <f>M7</f>
        <v>36.4</v>
      </c>
      <c r="N8">
        <f>N7</f>
        <v>34.4</v>
      </c>
      <c r="O8">
        <f>O7</f>
        <v>32.4</v>
      </c>
      <c r="P8">
        <f>P7</f>
        <v>33.4</v>
      </c>
      <c r="Q8">
        <f>Q7</f>
        <v>35.4</v>
      </c>
      <c r="R8">
        <f>R7</f>
        <v>35.4</v>
      </c>
      <c r="S8">
        <f>S7</f>
        <v>34.4</v>
      </c>
      <c r="T8">
        <f>T7</f>
        <v>36.4</v>
      </c>
      <c r="U8">
        <f>U7</f>
        <v>37.4</v>
      </c>
      <c r="V8">
        <f>V7</f>
        <v>35.4</v>
      </c>
      <c r="W8">
        <f>W7</f>
        <v>33.4</v>
      </c>
      <c r="X8">
        <f>X7</f>
        <v>32.4</v>
      </c>
      <c r="Y8">
        <f>Y7</f>
        <v>36.4</v>
      </c>
      <c r="Z8">
        <f>Z7</f>
        <v>35.4</v>
      </c>
      <c r="AA8">
        <f>AA7</f>
        <v>37.4</v>
      </c>
      <c r="AB8">
        <f>AB7</f>
        <v>35.4</v>
      </c>
      <c r="AC8">
        <f>AC7</f>
        <v>36.4</v>
      </c>
      <c r="AD8">
        <f>AD7</f>
        <v>35.4</v>
      </c>
      <c r="AE8">
        <f>AE7</f>
        <v>34.4</v>
      </c>
      <c r="AF8">
        <f>AF7</f>
        <v>34.4</v>
      </c>
    </row>
    <row r="9" spans="1:32" x14ac:dyDescent="0.25">
      <c r="A9" t="s">
        <v>39</v>
      </c>
      <c r="B9" t="s">
        <v>42</v>
      </c>
      <c r="C9" t="s">
        <v>42</v>
      </c>
      <c r="D9" t="s">
        <v>42</v>
      </c>
      <c r="E9" t="s">
        <v>42</v>
      </c>
      <c r="F9" t="s">
        <v>42</v>
      </c>
      <c r="G9" t="s">
        <v>42</v>
      </c>
      <c r="H9" t="s">
        <v>42</v>
      </c>
      <c r="I9" t="s">
        <v>42</v>
      </c>
      <c r="J9" t="s">
        <v>42</v>
      </c>
      <c r="K9" t="s">
        <v>42</v>
      </c>
      <c r="L9" t="s">
        <v>42</v>
      </c>
      <c r="M9" t="s">
        <v>42</v>
      </c>
      <c r="N9" t="s">
        <v>42</v>
      </c>
      <c r="O9" t="s">
        <v>42</v>
      </c>
      <c r="P9" t="s">
        <v>42</v>
      </c>
      <c r="Q9" t="s">
        <v>42</v>
      </c>
      <c r="R9" t="s">
        <v>42</v>
      </c>
      <c r="S9" t="s">
        <v>42</v>
      </c>
      <c r="T9" t="s">
        <v>42</v>
      </c>
      <c r="U9" t="s">
        <v>42</v>
      </c>
      <c r="V9" t="s">
        <v>42</v>
      </c>
      <c r="W9" t="s">
        <v>42</v>
      </c>
      <c r="X9" t="s">
        <v>42</v>
      </c>
      <c r="Y9" t="s">
        <v>42</v>
      </c>
      <c r="Z9" t="s">
        <v>42</v>
      </c>
      <c r="AA9" t="s">
        <v>42</v>
      </c>
      <c r="AB9" t="s">
        <v>42</v>
      </c>
      <c r="AC9" t="s">
        <v>42</v>
      </c>
      <c r="AD9" t="s">
        <v>42</v>
      </c>
      <c r="AE9" t="s">
        <v>42</v>
      </c>
      <c r="AF9" t="s">
        <v>42</v>
      </c>
    </row>
    <row r="10" spans="1:32" x14ac:dyDescent="0.25">
      <c r="A10" t="s">
        <v>1</v>
      </c>
      <c r="B10">
        <v>1000</v>
      </c>
      <c r="C10">
        <v>1000</v>
      </c>
      <c r="D10">
        <v>1000</v>
      </c>
      <c r="E10">
        <v>1000</v>
      </c>
      <c r="F10">
        <v>1000</v>
      </c>
      <c r="G10">
        <v>1000</v>
      </c>
      <c r="H10">
        <v>1000</v>
      </c>
      <c r="I10">
        <v>1000</v>
      </c>
      <c r="J10">
        <v>1000</v>
      </c>
      <c r="K10">
        <v>1000</v>
      </c>
      <c r="L10">
        <v>1000</v>
      </c>
      <c r="M10">
        <v>1000</v>
      </c>
      <c r="N10">
        <v>1000</v>
      </c>
      <c r="O10">
        <v>1000</v>
      </c>
      <c r="P10">
        <v>1000</v>
      </c>
      <c r="Q10">
        <v>1000</v>
      </c>
      <c r="R10">
        <v>1000</v>
      </c>
      <c r="S10">
        <v>1000</v>
      </c>
      <c r="T10">
        <v>1000</v>
      </c>
      <c r="U10">
        <v>1000</v>
      </c>
      <c r="V10">
        <v>1000</v>
      </c>
      <c r="W10">
        <v>1000</v>
      </c>
      <c r="X10">
        <v>1000</v>
      </c>
      <c r="Y10">
        <v>1000</v>
      </c>
      <c r="Z10">
        <v>1000</v>
      </c>
      <c r="AA10">
        <v>1000</v>
      </c>
      <c r="AB10">
        <v>1000</v>
      </c>
      <c r="AC10">
        <v>1000</v>
      </c>
      <c r="AD10">
        <v>1000</v>
      </c>
      <c r="AE10">
        <v>1000</v>
      </c>
      <c r="AF10">
        <v>1000</v>
      </c>
    </row>
    <row r="11" spans="1:32" x14ac:dyDescent="0.25">
      <c r="A11" t="s">
        <v>2</v>
      </c>
      <c r="B11">
        <f t="shared" ref="B11:AF11" si="1">B8*B10</f>
        <v>34400</v>
      </c>
      <c r="C11">
        <f t="shared" si="1"/>
        <v>34400</v>
      </c>
      <c r="D11">
        <f t="shared" si="1"/>
        <v>32400</v>
      </c>
      <c r="E11">
        <f t="shared" si="1"/>
        <v>33400</v>
      </c>
      <c r="F11">
        <f t="shared" si="1"/>
        <v>34400</v>
      </c>
      <c r="G11">
        <f t="shared" si="1"/>
        <v>33400</v>
      </c>
      <c r="H11">
        <f t="shared" si="1"/>
        <v>36400</v>
      </c>
      <c r="I11">
        <f t="shared" si="1"/>
        <v>34400</v>
      </c>
      <c r="J11">
        <f t="shared" si="1"/>
        <v>33400</v>
      </c>
      <c r="K11">
        <f t="shared" si="1"/>
        <v>37400</v>
      </c>
      <c r="L11">
        <f t="shared" si="1"/>
        <v>39400</v>
      </c>
      <c r="M11">
        <f t="shared" si="1"/>
        <v>36400</v>
      </c>
      <c r="N11">
        <f t="shared" si="1"/>
        <v>34400</v>
      </c>
      <c r="O11">
        <f t="shared" si="1"/>
        <v>32400</v>
      </c>
      <c r="P11">
        <f t="shared" si="1"/>
        <v>33400</v>
      </c>
      <c r="Q11">
        <f t="shared" si="1"/>
        <v>35400</v>
      </c>
      <c r="R11">
        <f t="shared" si="1"/>
        <v>35400</v>
      </c>
      <c r="S11">
        <f t="shared" si="1"/>
        <v>34400</v>
      </c>
      <c r="T11">
        <f t="shared" si="1"/>
        <v>36400</v>
      </c>
      <c r="U11">
        <f t="shared" si="1"/>
        <v>37400</v>
      </c>
      <c r="V11">
        <f t="shared" si="1"/>
        <v>35400</v>
      </c>
      <c r="W11">
        <f t="shared" si="1"/>
        <v>33400</v>
      </c>
      <c r="X11">
        <f t="shared" si="1"/>
        <v>32400</v>
      </c>
      <c r="Y11">
        <f t="shared" si="1"/>
        <v>36400</v>
      </c>
      <c r="Z11">
        <f t="shared" si="1"/>
        <v>35400</v>
      </c>
      <c r="AA11">
        <f t="shared" si="1"/>
        <v>37400</v>
      </c>
      <c r="AB11">
        <f t="shared" si="1"/>
        <v>35400</v>
      </c>
      <c r="AC11">
        <f t="shared" si="1"/>
        <v>36400</v>
      </c>
      <c r="AD11">
        <f t="shared" si="1"/>
        <v>35400</v>
      </c>
      <c r="AE11">
        <f t="shared" si="1"/>
        <v>34400</v>
      </c>
      <c r="AF11">
        <f t="shared" si="1"/>
        <v>34400</v>
      </c>
    </row>
    <row r="12" spans="1:32" x14ac:dyDescent="0.25">
      <c r="A12" t="s">
        <v>7</v>
      </c>
      <c r="B12" s="1">
        <f t="shared" ref="B12:AF12" si="2">B4*B10</f>
        <v>110500</v>
      </c>
      <c r="C12" s="1">
        <f t="shared" si="2"/>
        <v>110500</v>
      </c>
      <c r="D12" s="1">
        <f t="shared" si="2"/>
        <v>110500</v>
      </c>
      <c r="E12" s="1">
        <f t="shared" si="2"/>
        <v>110500</v>
      </c>
      <c r="F12" s="1">
        <f t="shared" si="2"/>
        <v>110500</v>
      </c>
      <c r="G12" s="1">
        <f t="shared" si="2"/>
        <v>110500</v>
      </c>
      <c r="H12" s="1">
        <f t="shared" si="2"/>
        <v>110500</v>
      </c>
      <c r="I12" s="1">
        <f t="shared" si="2"/>
        <v>110500</v>
      </c>
      <c r="J12" s="1">
        <f t="shared" si="2"/>
        <v>110500</v>
      </c>
      <c r="K12" s="1">
        <f t="shared" si="2"/>
        <v>110500</v>
      </c>
      <c r="L12" s="1">
        <f t="shared" si="2"/>
        <v>110500</v>
      </c>
      <c r="M12" s="1">
        <f t="shared" si="2"/>
        <v>110500</v>
      </c>
      <c r="N12" s="1">
        <f t="shared" si="2"/>
        <v>110500</v>
      </c>
      <c r="O12" s="1">
        <f t="shared" si="2"/>
        <v>110500</v>
      </c>
      <c r="P12" s="1">
        <f t="shared" si="2"/>
        <v>110500</v>
      </c>
      <c r="Q12" s="1">
        <f t="shared" si="2"/>
        <v>110500</v>
      </c>
      <c r="R12" s="1">
        <f t="shared" si="2"/>
        <v>110500</v>
      </c>
      <c r="S12" s="1">
        <f t="shared" si="2"/>
        <v>110500</v>
      </c>
      <c r="T12" s="1">
        <f t="shared" si="2"/>
        <v>110500</v>
      </c>
      <c r="U12" s="1">
        <f t="shared" si="2"/>
        <v>110500</v>
      </c>
      <c r="V12" s="1">
        <f t="shared" si="2"/>
        <v>110500</v>
      </c>
      <c r="W12" s="1">
        <f t="shared" si="2"/>
        <v>110500</v>
      </c>
      <c r="X12" s="1">
        <f t="shared" si="2"/>
        <v>110500</v>
      </c>
      <c r="Y12" s="1">
        <f t="shared" si="2"/>
        <v>110500</v>
      </c>
      <c r="Z12" s="1">
        <f t="shared" si="2"/>
        <v>110500</v>
      </c>
      <c r="AA12" s="1">
        <f t="shared" si="2"/>
        <v>110500</v>
      </c>
      <c r="AB12" s="1">
        <f t="shared" si="2"/>
        <v>110500</v>
      </c>
      <c r="AC12" s="1">
        <f t="shared" si="2"/>
        <v>110500</v>
      </c>
      <c r="AD12" s="1">
        <f t="shared" si="2"/>
        <v>110500</v>
      </c>
      <c r="AE12" s="1">
        <f t="shared" si="2"/>
        <v>110500</v>
      </c>
      <c r="AF12" s="1">
        <f t="shared" si="2"/>
        <v>110500</v>
      </c>
    </row>
    <row r="13" spans="1:32" x14ac:dyDescent="0.25">
      <c r="A13" t="s">
        <v>3</v>
      </c>
      <c r="B13" s="2">
        <f>4.39</f>
        <v>4.3899999999999997</v>
      </c>
      <c r="C13" s="2">
        <f>4.39</f>
        <v>4.3899999999999997</v>
      </c>
      <c r="D13" s="2">
        <f>4.39</f>
        <v>4.3899999999999997</v>
      </c>
      <c r="E13" s="2">
        <f>4.39</f>
        <v>4.3899999999999997</v>
      </c>
      <c r="F13" s="2">
        <f>4.39</f>
        <v>4.3899999999999997</v>
      </c>
      <c r="G13" s="2">
        <f>4.39</f>
        <v>4.3899999999999997</v>
      </c>
      <c r="H13" s="2">
        <f>4.39</f>
        <v>4.3899999999999997</v>
      </c>
      <c r="I13" s="2">
        <f>4.39</f>
        <v>4.3899999999999997</v>
      </c>
      <c r="J13" s="2">
        <f>4.39</f>
        <v>4.3899999999999997</v>
      </c>
      <c r="K13" s="2">
        <f>4.39</f>
        <v>4.3899999999999997</v>
      </c>
      <c r="L13" s="2">
        <f>4.39</f>
        <v>4.3899999999999997</v>
      </c>
      <c r="M13" s="2">
        <f>4.39</f>
        <v>4.3899999999999997</v>
      </c>
      <c r="N13" s="2">
        <f>4.39</f>
        <v>4.3899999999999997</v>
      </c>
      <c r="O13" s="2">
        <f>4.39</f>
        <v>4.3899999999999997</v>
      </c>
      <c r="P13" s="2">
        <f>4.39</f>
        <v>4.3899999999999997</v>
      </c>
      <c r="Q13" s="2">
        <f>4.39</f>
        <v>4.3899999999999997</v>
      </c>
      <c r="R13" s="2">
        <f>4.39</f>
        <v>4.3899999999999997</v>
      </c>
      <c r="S13" s="2">
        <f>4.39</f>
        <v>4.3899999999999997</v>
      </c>
      <c r="T13" s="2">
        <f>4.39</f>
        <v>4.3899999999999997</v>
      </c>
      <c r="U13" s="2">
        <f>4.39</f>
        <v>4.3899999999999997</v>
      </c>
      <c r="V13" s="2">
        <f>4.39</f>
        <v>4.3899999999999997</v>
      </c>
      <c r="W13" s="2">
        <f>4.39</f>
        <v>4.3899999999999997</v>
      </c>
      <c r="X13" s="2">
        <f>4.39</f>
        <v>4.3899999999999997</v>
      </c>
      <c r="Y13" s="2">
        <f>4.39</f>
        <v>4.3899999999999997</v>
      </c>
      <c r="Z13" s="2">
        <f>4.39</f>
        <v>4.3899999999999997</v>
      </c>
      <c r="AA13" s="2">
        <f>4.39</f>
        <v>4.3899999999999997</v>
      </c>
      <c r="AB13" s="2">
        <f>4.39</f>
        <v>4.3899999999999997</v>
      </c>
      <c r="AC13" s="2">
        <f>4.39</f>
        <v>4.3899999999999997</v>
      </c>
      <c r="AD13" s="2">
        <f>4.39</f>
        <v>4.3899999999999997</v>
      </c>
      <c r="AE13" s="2">
        <f>4.39</f>
        <v>4.3899999999999997</v>
      </c>
      <c r="AF13" s="2">
        <f>4.39</f>
        <v>4.3899999999999997</v>
      </c>
    </row>
    <row r="14" spans="1:32" x14ac:dyDescent="0.25">
      <c r="B14" s="2"/>
    </row>
    <row r="15" spans="1:32" x14ac:dyDescent="0.25">
      <c r="A15" t="s">
        <v>4</v>
      </c>
      <c r="B15" s="2">
        <f>B11*B13</f>
        <v>151016</v>
      </c>
      <c r="C15" s="2">
        <f>C11*C13</f>
        <v>151016</v>
      </c>
      <c r="D15" s="2">
        <f>D11*D13</f>
        <v>142236</v>
      </c>
      <c r="E15" s="2">
        <f>E11*E13</f>
        <v>146626</v>
      </c>
      <c r="F15" s="2">
        <f>F11*F13</f>
        <v>151016</v>
      </c>
      <c r="G15" s="2">
        <f>G11*G13</f>
        <v>146626</v>
      </c>
      <c r="H15" s="2">
        <f>H11*H13</f>
        <v>159796</v>
      </c>
      <c r="I15" s="2">
        <f>I11*I13</f>
        <v>151016</v>
      </c>
      <c r="J15" s="2">
        <f>J11*J13</f>
        <v>146626</v>
      </c>
      <c r="K15" s="2">
        <f>K11*K13</f>
        <v>164186</v>
      </c>
      <c r="L15" s="2">
        <f>L11*L13</f>
        <v>172966</v>
      </c>
      <c r="M15" s="2">
        <f>M11*M13</f>
        <v>159796</v>
      </c>
      <c r="N15" s="2">
        <f>N11*N13</f>
        <v>151016</v>
      </c>
      <c r="O15" s="2">
        <f>O11*O13</f>
        <v>142236</v>
      </c>
      <c r="P15" s="2">
        <f>P11*P13</f>
        <v>146626</v>
      </c>
      <c r="Q15" s="2">
        <f>Q11*Q13</f>
        <v>155406</v>
      </c>
      <c r="R15" s="2">
        <f>R11*R13</f>
        <v>155406</v>
      </c>
      <c r="S15" s="2">
        <f>S11*S13</f>
        <v>151016</v>
      </c>
      <c r="T15" s="2">
        <f>T11*T13</f>
        <v>159796</v>
      </c>
      <c r="U15" s="2">
        <f>U11*U13</f>
        <v>164186</v>
      </c>
      <c r="V15" s="2">
        <f>V11*V13</f>
        <v>155406</v>
      </c>
      <c r="W15" s="2">
        <f>W11*W13</f>
        <v>146626</v>
      </c>
      <c r="X15" s="2">
        <f>X11*X13</f>
        <v>142236</v>
      </c>
      <c r="Y15" s="2">
        <f>Y11*Y13</f>
        <v>159796</v>
      </c>
      <c r="Z15" s="2">
        <f>Z11*Z13</f>
        <v>155406</v>
      </c>
      <c r="AA15" s="2">
        <f>AA11*AA13</f>
        <v>164186</v>
      </c>
      <c r="AB15" s="2">
        <f>AB11*AB13</f>
        <v>155406</v>
      </c>
      <c r="AC15" s="2">
        <f>AC11*AC13</f>
        <v>159796</v>
      </c>
      <c r="AD15" s="2">
        <f>AD11*AD13</f>
        <v>155406</v>
      </c>
      <c r="AE15" s="2">
        <f>AE11*AE13</f>
        <v>151016</v>
      </c>
      <c r="AF15" s="2">
        <f>AF11*AF13</f>
        <v>151016</v>
      </c>
    </row>
    <row r="16" spans="1:32" x14ac:dyDescent="0.25">
      <c r="A16" t="s">
        <v>5</v>
      </c>
      <c r="B16" s="2">
        <f>B15-B12</f>
        <v>40516</v>
      </c>
      <c r="C16" s="2">
        <f>C15-C12</f>
        <v>40516</v>
      </c>
      <c r="D16" s="2">
        <f>D15-D12</f>
        <v>31736</v>
      </c>
      <c r="E16" s="2">
        <f>E15-E12</f>
        <v>36126</v>
      </c>
      <c r="F16" s="2">
        <f>F15-F12</f>
        <v>40516</v>
      </c>
      <c r="G16" s="2">
        <f>G15-G12</f>
        <v>36126</v>
      </c>
      <c r="H16" s="2">
        <f>H15-H12</f>
        <v>49296</v>
      </c>
      <c r="I16" s="2">
        <f>I15-I12</f>
        <v>40516</v>
      </c>
      <c r="J16" s="2">
        <f>J15-J12</f>
        <v>36126</v>
      </c>
      <c r="K16" s="2">
        <f>K15-K12</f>
        <v>53686</v>
      </c>
      <c r="L16" s="2">
        <f>L15-L12</f>
        <v>62466</v>
      </c>
      <c r="M16" s="2">
        <f>M15-M12</f>
        <v>49296</v>
      </c>
      <c r="N16" s="2">
        <f>N15-N12</f>
        <v>40516</v>
      </c>
      <c r="O16" s="2">
        <f>O15-O12</f>
        <v>31736</v>
      </c>
      <c r="P16" s="2">
        <f>P15-P12</f>
        <v>36126</v>
      </c>
      <c r="Q16" s="2">
        <f>Q15-Q12</f>
        <v>44906</v>
      </c>
      <c r="R16" s="2">
        <f>R15-R12</f>
        <v>44906</v>
      </c>
      <c r="S16" s="2">
        <f>S15-S12</f>
        <v>40516</v>
      </c>
      <c r="T16" s="2">
        <f>T15-T12</f>
        <v>49296</v>
      </c>
      <c r="U16" s="2">
        <f>U15-U12</f>
        <v>53686</v>
      </c>
      <c r="V16" s="2">
        <f>V15-V12</f>
        <v>44906</v>
      </c>
      <c r="W16" s="2">
        <f>W15-W12</f>
        <v>36126</v>
      </c>
      <c r="X16" s="2">
        <f>X15-X12</f>
        <v>31736</v>
      </c>
      <c r="Y16" s="2">
        <f>Y15-Y12</f>
        <v>49296</v>
      </c>
      <c r="Z16" s="2">
        <f>Z15-Z12</f>
        <v>44906</v>
      </c>
      <c r="AA16" s="2">
        <f>AA15-AA12</f>
        <v>53686</v>
      </c>
      <c r="AB16" s="2">
        <f>AB15-AB12</f>
        <v>44906</v>
      </c>
      <c r="AC16" s="2">
        <f>AC15-AC12</f>
        <v>49296</v>
      </c>
      <c r="AD16" s="2">
        <f>AD15-AD12</f>
        <v>44906</v>
      </c>
      <c r="AE16" s="2">
        <f>AE15-AE12</f>
        <v>40516</v>
      </c>
      <c r="AF16" s="2">
        <f>AF15-AF12</f>
        <v>40516</v>
      </c>
    </row>
    <row r="17" spans="1:32" x14ac:dyDescent="0.25">
      <c r="B17" s="2"/>
    </row>
    <row r="20" spans="1:32" x14ac:dyDescent="0.25">
      <c r="A20" t="s">
        <v>6</v>
      </c>
      <c r="B20" s="1">
        <f>NPV(3%,B16:AF16)</f>
        <v>855202.56439349137</v>
      </c>
      <c r="C20" s="1">
        <f>NPV(3%,C16:AF16)</f>
        <v>840342.64132529602</v>
      </c>
      <c r="D20" s="1">
        <f>NPV(3%,D16:AF16)</f>
        <v>825036.92056505487</v>
      </c>
      <c r="E20" s="1">
        <f>NPV(3%,E16:AF16)</f>
        <v>818052.02818200667</v>
      </c>
      <c r="F20" s="1">
        <f>NPV(3%,F16:AF16)</f>
        <v>806467.58902746683</v>
      </c>
      <c r="G20" s="1">
        <f>NPV(3%,G16:AF16)</f>
        <v>790145.61669829092</v>
      </c>
      <c r="H20" s="1">
        <f>NPV(3%,H16:AF16)</f>
        <v>777723.98519923957</v>
      </c>
      <c r="I20" s="1">
        <f>NPV(3%,I16:AF16)</f>
        <v>751759.70475521672</v>
      </c>
      <c r="J20" s="1">
        <f>NPV(3%,J16:AF16)</f>
        <v>733796.49589787342</v>
      </c>
      <c r="K20" s="1">
        <f>NPV(3%,K16:AF16)</f>
        <v>719684.39077480952</v>
      </c>
      <c r="L20" s="1">
        <f>NPV(3%,L16:AO16)</f>
        <v>687588.92249805387</v>
      </c>
      <c r="M20" s="1">
        <f>NPV(3%,M16:AP16)</f>
        <v>645750.59017299546</v>
      </c>
      <c r="N20" s="1">
        <f>NPV(3%,N16:AQ16)</f>
        <v>615827.10787818546</v>
      </c>
      <c r="O20" s="1">
        <f>NPV(3%,O16:AR16)</f>
        <v>593785.921114531</v>
      </c>
      <c r="P20" s="1">
        <f>NPV(3%,P16:AS16)</f>
        <v>579863.49874796707</v>
      </c>
      <c r="Q20" s="1">
        <f>NPV(3%,Q16:AT16)</f>
        <v>561133.40371040592</v>
      </c>
      <c r="R20" s="1">
        <f>NPV(3%,R16:AU16)</f>
        <v>533061.40582171828</v>
      </c>
      <c r="S20" s="1">
        <f>NPV(3%,S16:AV16)</f>
        <v>504147.24799636984</v>
      </c>
      <c r="T20" s="1">
        <f>NPV(3%,T16:AW16)</f>
        <v>478755.66543626093</v>
      </c>
      <c r="U20" s="1">
        <f>NPV(3%,U16:AX16)</f>
        <v>443822.3353993487</v>
      </c>
      <c r="V20" s="1">
        <f>NPV(3%,V16:AY16)</f>
        <v>403451.00546132925</v>
      </c>
      <c r="W20" s="1">
        <f>NPV(3%,W16:AZ16)</f>
        <v>370648.53562516923</v>
      </c>
      <c r="X20" s="1">
        <f>NPV(3%,X16:BA16)</f>
        <v>345641.9916939243</v>
      </c>
      <c r="Y20" s="1">
        <f>NPV(3%,Y16:BB16)</f>
        <v>324275.25144474191</v>
      </c>
      <c r="Z20" s="1">
        <f>NPV(3%,Z16:BC16)</f>
        <v>284707.50898808421</v>
      </c>
      <c r="AA20" s="1">
        <f>NPV(3%,AA16:BD16)</f>
        <v>248342.73425772676</v>
      </c>
      <c r="AB20" s="1">
        <f>NPV(3%,AB16:BE16)</f>
        <v>202107.01628545858</v>
      </c>
      <c r="AC20" s="1">
        <f>NPV(3%,AC16:BF16)</f>
        <v>163264.2267740223</v>
      </c>
      <c r="AD20" s="1">
        <f>NPV(3%,AD16:BG16)</f>
        <v>118866.15357724299</v>
      </c>
      <c r="AE20" s="1">
        <f>NPV(3%,AE16:BH16)</f>
        <v>77526.138184560288</v>
      </c>
      <c r="AF20" s="1">
        <f>NPV(3%,AF16:BI16)</f>
        <v>39335.922330097084</v>
      </c>
    </row>
    <row r="21" spans="1:32" x14ac:dyDescent="0.25">
      <c r="B21" s="1"/>
    </row>
    <row r="27" spans="1:32" x14ac:dyDescent="0.25">
      <c r="J27" s="3"/>
    </row>
    <row r="28" spans="1:32" x14ac:dyDescent="0.25">
      <c r="J28" s="3"/>
    </row>
    <row r="29" spans="1:32" x14ac:dyDescent="0.25">
      <c r="J29" s="3"/>
    </row>
    <row r="30" spans="1:32" x14ac:dyDescent="0.25">
      <c r="J30" s="3"/>
    </row>
    <row r="31" spans="1:32" x14ac:dyDescent="0.25">
      <c r="J31" s="3"/>
    </row>
    <row r="32" spans="1:32" x14ac:dyDescent="0.25">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row r="45" spans="10:10" x14ac:dyDescent="0.25">
      <c r="J45" s="3"/>
    </row>
    <row r="46" spans="10:10" x14ac:dyDescent="0.25">
      <c r="J46" s="3"/>
    </row>
    <row r="47" spans="10:10" x14ac:dyDescent="0.25">
      <c r="J47" s="3"/>
    </row>
    <row r="48" spans="10:10" x14ac:dyDescent="0.25">
      <c r="J48" s="3"/>
    </row>
    <row r="49" spans="10:10" x14ac:dyDescent="0.25">
      <c r="J49" s="3"/>
    </row>
    <row r="50" spans="10:10" x14ac:dyDescent="0.25">
      <c r="J50" s="3"/>
    </row>
    <row r="51" spans="10:10" x14ac:dyDescent="0.25">
      <c r="J51" s="3"/>
    </row>
    <row r="52" spans="10:10" x14ac:dyDescent="0.25">
      <c r="J52" s="3"/>
    </row>
    <row r="53" spans="10:10" x14ac:dyDescent="0.25">
      <c r="J53" s="3"/>
    </row>
    <row r="54" spans="10:10" x14ac:dyDescent="0.25">
      <c r="J54" s="3"/>
    </row>
    <row r="55" spans="10:10" x14ac:dyDescent="0.25">
      <c r="J55" s="3"/>
    </row>
    <row r="56" spans="10:10" x14ac:dyDescent="0.25">
      <c r="J56" s="3"/>
    </row>
  </sheetData>
  <conditionalFormatting sqref="A8:A9">
    <cfRule type="expression" dxfId="1966" priority="147" stopIfTrue="1">
      <formula>IF(RiskSelectedNameCell2=CELL("address",$A$8),TRUE)</formula>
    </cfRule>
  </conditionalFormatting>
  <conditionalFormatting sqref="B8">
    <cfRule type="expression" dxfId="900" priority="148" stopIfTrue="1">
      <formula>RiskIsInput</formula>
    </cfRule>
  </conditionalFormatting>
  <conditionalFormatting sqref="C8">
    <cfRule type="expression" dxfId="899" priority="149" stopIfTrue="1">
      <formula>RiskIsInput</formula>
    </cfRule>
  </conditionalFormatting>
  <conditionalFormatting sqref="D8">
    <cfRule type="expression" dxfId="898" priority="150" stopIfTrue="1">
      <formula>RiskIsInput</formula>
    </cfRule>
  </conditionalFormatting>
  <conditionalFormatting sqref="E8">
    <cfRule type="expression" dxfId="897" priority="151" stopIfTrue="1">
      <formula>RiskIsInput</formula>
    </cfRule>
  </conditionalFormatting>
  <conditionalFormatting sqref="F8">
    <cfRule type="expression" dxfId="896" priority="152" stopIfTrue="1">
      <formula>RiskIsInput</formula>
    </cfRule>
  </conditionalFormatting>
  <conditionalFormatting sqref="G8">
    <cfRule type="expression" dxfId="895" priority="153" stopIfTrue="1">
      <formula>RiskIsInput</formula>
    </cfRule>
  </conditionalFormatting>
  <conditionalFormatting sqref="H8">
    <cfRule type="expression" dxfId="894" priority="154" stopIfTrue="1">
      <formula>RiskIsInput</formula>
    </cfRule>
  </conditionalFormatting>
  <conditionalFormatting sqref="I8">
    <cfRule type="expression" dxfId="893" priority="155" stopIfTrue="1">
      <formula>RiskIsInput</formula>
    </cfRule>
  </conditionalFormatting>
  <conditionalFormatting sqref="J8">
    <cfRule type="expression" dxfId="892" priority="156" stopIfTrue="1">
      <formula>RiskIsInput</formula>
    </cfRule>
  </conditionalFormatting>
  <conditionalFormatting sqref="K8">
    <cfRule type="expression" dxfId="891" priority="157" stopIfTrue="1">
      <formula>RiskIsInput</formula>
    </cfRule>
  </conditionalFormatting>
  <conditionalFormatting sqref="L8">
    <cfRule type="expression" dxfId="890" priority="158" stopIfTrue="1">
      <formula>RiskIsInput</formula>
    </cfRule>
  </conditionalFormatting>
  <conditionalFormatting sqref="M8">
    <cfRule type="expression" dxfId="889" priority="159" stopIfTrue="1">
      <formula>RiskIsInput</formula>
    </cfRule>
  </conditionalFormatting>
  <conditionalFormatting sqref="N8">
    <cfRule type="expression" dxfId="888" priority="160" stopIfTrue="1">
      <formula>RiskIsInput</formula>
    </cfRule>
  </conditionalFormatting>
  <conditionalFormatting sqref="O8">
    <cfRule type="expression" dxfId="887" priority="161" stopIfTrue="1">
      <formula>RiskIsInput</formula>
    </cfRule>
  </conditionalFormatting>
  <conditionalFormatting sqref="P8">
    <cfRule type="expression" dxfId="886" priority="162" stopIfTrue="1">
      <formula>RiskIsInput</formula>
    </cfRule>
  </conditionalFormatting>
  <conditionalFormatting sqref="Q8">
    <cfRule type="expression" dxfId="885" priority="163" stopIfTrue="1">
      <formula>RiskIsInput</formula>
    </cfRule>
  </conditionalFormatting>
  <conditionalFormatting sqref="R8">
    <cfRule type="expression" dxfId="884" priority="164" stopIfTrue="1">
      <formula>RiskIsInput</formula>
    </cfRule>
  </conditionalFormatting>
  <conditionalFormatting sqref="S8">
    <cfRule type="expression" dxfId="883" priority="165" stopIfTrue="1">
      <formula>RiskIsInput</formula>
    </cfRule>
  </conditionalFormatting>
  <conditionalFormatting sqref="T8">
    <cfRule type="expression" dxfId="882" priority="166" stopIfTrue="1">
      <formula>RiskIsInput</formula>
    </cfRule>
  </conditionalFormatting>
  <conditionalFormatting sqref="U8">
    <cfRule type="expression" dxfId="881" priority="167" stopIfTrue="1">
      <formula>RiskIsInput</formula>
    </cfRule>
  </conditionalFormatting>
  <conditionalFormatting sqref="V8">
    <cfRule type="expression" dxfId="880" priority="168" stopIfTrue="1">
      <formula>RiskIsInput</formula>
    </cfRule>
  </conditionalFormatting>
  <conditionalFormatting sqref="W8">
    <cfRule type="expression" dxfId="879" priority="169" stopIfTrue="1">
      <formula>RiskIsInput</formula>
    </cfRule>
  </conditionalFormatting>
  <conditionalFormatting sqref="X8">
    <cfRule type="expression" dxfId="878" priority="170" stopIfTrue="1">
      <formula>RiskIsInput</formula>
    </cfRule>
  </conditionalFormatting>
  <conditionalFormatting sqref="Y8">
    <cfRule type="expression" dxfId="877" priority="171" stopIfTrue="1">
      <formula>RiskIsInput</formula>
    </cfRule>
  </conditionalFormatting>
  <conditionalFormatting sqref="Z8">
    <cfRule type="expression" dxfId="876" priority="172" stopIfTrue="1">
      <formula>RiskIsInput</formula>
    </cfRule>
  </conditionalFormatting>
  <conditionalFormatting sqref="AA8">
    <cfRule type="expression" dxfId="875" priority="173" stopIfTrue="1">
      <formula>RiskIsInput</formula>
    </cfRule>
  </conditionalFormatting>
  <conditionalFormatting sqref="AB8">
    <cfRule type="expression" dxfId="874" priority="174" stopIfTrue="1">
      <formula>RiskIsInput</formula>
    </cfRule>
  </conditionalFormatting>
  <conditionalFormatting sqref="AC8">
    <cfRule type="expression" dxfId="873" priority="175" stopIfTrue="1">
      <formula>RiskIsInput</formula>
    </cfRule>
  </conditionalFormatting>
  <conditionalFormatting sqref="AD8">
    <cfRule type="expression" dxfId="872" priority="176" stopIfTrue="1">
      <formula>RiskIsInput</formula>
    </cfRule>
  </conditionalFormatting>
  <conditionalFormatting sqref="AE8">
    <cfRule type="expression" dxfId="871" priority="177" stopIfTrue="1">
      <formula>RiskIsInput</formula>
    </cfRule>
  </conditionalFormatting>
  <conditionalFormatting sqref="AF8">
    <cfRule type="expression" dxfId="870" priority="178" stopIfTrue="1">
      <formula>RiskIsInput</formula>
    </cfRule>
  </conditionalFormatting>
  <conditionalFormatting sqref="B13">
    <cfRule type="expression" dxfId="869" priority="179" stopIfTrue="1">
      <formula>RiskIsInput</formula>
    </cfRule>
  </conditionalFormatting>
  <conditionalFormatting sqref="C13">
    <cfRule type="expression" dxfId="868" priority="180" stopIfTrue="1">
      <formula>RiskIsInput</formula>
    </cfRule>
  </conditionalFormatting>
  <conditionalFormatting sqref="D13">
    <cfRule type="expression" dxfId="867" priority="181" stopIfTrue="1">
      <formula>RiskIsInput</formula>
    </cfRule>
  </conditionalFormatting>
  <conditionalFormatting sqref="E13">
    <cfRule type="expression" dxfId="866" priority="182" stopIfTrue="1">
      <formula>RiskIsInput</formula>
    </cfRule>
  </conditionalFormatting>
  <conditionalFormatting sqref="F13">
    <cfRule type="expression" dxfId="865" priority="183" stopIfTrue="1">
      <formula>RiskIsInput</formula>
    </cfRule>
  </conditionalFormatting>
  <conditionalFormatting sqref="G13">
    <cfRule type="expression" dxfId="864" priority="184" stopIfTrue="1">
      <formula>RiskIsInput</formula>
    </cfRule>
  </conditionalFormatting>
  <conditionalFormatting sqref="H13">
    <cfRule type="expression" dxfId="863" priority="185" stopIfTrue="1">
      <formula>RiskIsInput</formula>
    </cfRule>
  </conditionalFormatting>
  <conditionalFormatting sqref="I13">
    <cfRule type="expression" dxfId="862" priority="186" stopIfTrue="1">
      <formula>RiskIsInput</formula>
    </cfRule>
  </conditionalFormatting>
  <conditionalFormatting sqref="J13">
    <cfRule type="expression" dxfId="861" priority="187" stopIfTrue="1">
      <formula>RiskIsInput</formula>
    </cfRule>
  </conditionalFormatting>
  <conditionalFormatting sqref="K13">
    <cfRule type="expression" dxfId="860" priority="188" stopIfTrue="1">
      <formula>RiskIsInput</formula>
    </cfRule>
  </conditionalFormatting>
  <conditionalFormatting sqref="L13">
    <cfRule type="expression" dxfId="859" priority="189" stopIfTrue="1">
      <formula>RiskIsInput</formula>
    </cfRule>
  </conditionalFormatting>
  <conditionalFormatting sqref="M13">
    <cfRule type="expression" dxfId="858" priority="190" stopIfTrue="1">
      <formula>RiskIsInput</formula>
    </cfRule>
  </conditionalFormatting>
  <conditionalFormatting sqref="N13">
    <cfRule type="expression" dxfId="857" priority="191" stopIfTrue="1">
      <formula>RiskIsInput</formula>
    </cfRule>
  </conditionalFormatting>
  <conditionalFormatting sqref="O13">
    <cfRule type="expression" dxfId="856" priority="192" stopIfTrue="1">
      <formula>RiskIsInput</formula>
    </cfRule>
  </conditionalFormatting>
  <conditionalFormatting sqref="P13">
    <cfRule type="expression" dxfId="855" priority="193" stopIfTrue="1">
      <formula>RiskIsInput</formula>
    </cfRule>
  </conditionalFormatting>
  <conditionalFormatting sqref="Q13">
    <cfRule type="expression" dxfId="854" priority="194" stopIfTrue="1">
      <formula>RiskIsInput</formula>
    </cfRule>
  </conditionalFormatting>
  <conditionalFormatting sqref="R13">
    <cfRule type="expression" dxfId="853" priority="195" stopIfTrue="1">
      <formula>RiskIsInput</formula>
    </cfRule>
  </conditionalFormatting>
  <conditionalFormatting sqref="S13">
    <cfRule type="expression" dxfId="852" priority="196" stopIfTrue="1">
      <formula>RiskIsInput</formula>
    </cfRule>
  </conditionalFormatting>
  <conditionalFormatting sqref="T13">
    <cfRule type="expression" dxfId="851" priority="197" stopIfTrue="1">
      <formula>RiskIsInput</formula>
    </cfRule>
  </conditionalFormatting>
  <conditionalFormatting sqref="U13">
    <cfRule type="expression" dxfId="850" priority="198" stopIfTrue="1">
      <formula>RiskIsInput</formula>
    </cfRule>
  </conditionalFormatting>
  <conditionalFormatting sqref="V13">
    <cfRule type="expression" dxfId="849" priority="199" stopIfTrue="1">
      <formula>RiskIsInput</formula>
    </cfRule>
  </conditionalFormatting>
  <conditionalFormatting sqref="W13">
    <cfRule type="expression" dxfId="848" priority="200" stopIfTrue="1">
      <formula>RiskIsInput</formula>
    </cfRule>
  </conditionalFormatting>
  <conditionalFormatting sqref="X13">
    <cfRule type="expression" dxfId="847" priority="201" stopIfTrue="1">
      <formula>RiskIsInput</formula>
    </cfRule>
  </conditionalFormatting>
  <conditionalFormatting sqref="Y13">
    <cfRule type="expression" dxfId="846" priority="202" stopIfTrue="1">
      <formula>RiskIsInput</formula>
    </cfRule>
  </conditionalFormatting>
  <conditionalFormatting sqref="Z13">
    <cfRule type="expression" dxfId="845" priority="203" stopIfTrue="1">
      <formula>RiskIsInput</formula>
    </cfRule>
  </conditionalFormatting>
  <conditionalFormatting sqref="AA13">
    <cfRule type="expression" dxfId="844" priority="204" stopIfTrue="1">
      <formula>RiskIsInput</formula>
    </cfRule>
  </conditionalFormatting>
  <conditionalFormatting sqref="AB13">
    <cfRule type="expression" dxfId="843" priority="205" stopIfTrue="1">
      <formula>RiskIsInput</formula>
    </cfRule>
  </conditionalFormatting>
  <conditionalFormatting sqref="AC13">
    <cfRule type="expression" dxfId="842" priority="206" stopIfTrue="1">
      <formula>RiskIsInput</formula>
    </cfRule>
  </conditionalFormatting>
  <conditionalFormatting sqref="AD13">
    <cfRule type="expression" dxfId="841" priority="207" stopIfTrue="1">
      <formula>RiskIsInput</formula>
    </cfRule>
  </conditionalFormatting>
  <conditionalFormatting sqref="AE13">
    <cfRule type="expression" dxfId="840" priority="208" stopIfTrue="1">
      <formula>RiskIsInput</formula>
    </cfRule>
  </conditionalFormatting>
  <conditionalFormatting sqref="AF13">
    <cfRule type="expression" dxfId="839" priority="209" stopIfTrue="1">
      <formula>RiskIsInput</formula>
    </cfRule>
  </conditionalFormatting>
  <conditionalFormatting sqref="B15">
    <cfRule type="expression" dxfId="838" priority="210" stopIfTrue="1">
      <formula>RiskIsOutput</formula>
    </cfRule>
  </conditionalFormatting>
  <conditionalFormatting sqref="C15">
    <cfRule type="expression" dxfId="837" priority="211" stopIfTrue="1">
      <formula>RiskIsOutput</formula>
    </cfRule>
  </conditionalFormatting>
  <conditionalFormatting sqref="D15">
    <cfRule type="expression" dxfId="836" priority="212" stopIfTrue="1">
      <formula>RiskIsOutput</formula>
    </cfRule>
  </conditionalFormatting>
  <conditionalFormatting sqref="E15">
    <cfRule type="expression" dxfId="835" priority="213" stopIfTrue="1">
      <formula>RiskIsOutput</formula>
    </cfRule>
  </conditionalFormatting>
  <conditionalFormatting sqref="F15">
    <cfRule type="expression" dxfId="834" priority="214" stopIfTrue="1">
      <formula>RiskIsOutput</formula>
    </cfRule>
  </conditionalFormatting>
  <conditionalFormatting sqref="G15">
    <cfRule type="expression" dxfId="833" priority="215" stopIfTrue="1">
      <formula>RiskIsOutput</formula>
    </cfRule>
  </conditionalFormatting>
  <conditionalFormatting sqref="H15">
    <cfRule type="expression" dxfId="832" priority="216" stopIfTrue="1">
      <formula>RiskIsOutput</formula>
    </cfRule>
  </conditionalFormatting>
  <conditionalFormatting sqref="I15">
    <cfRule type="expression" dxfId="831" priority="217" stopIfTrue="1">
      <formula>RiskIsOutput</formula>
    </cfRule>
  </conditionalFormatting>
  <conditionalFormatting sqref="J15">
    <cfRule type="expression" dxfId="830" priority="218" stopIfTrue="1">
      <formula>RiskIsOutput</formula>
    </cfRule>
  </conditionalFormatting>
  <conditionalFormatting sqref="K15">
    <cfRule type="expression" dxfId="829" priority="219" stopIfTrue="1">
      <formula>RiskIsOutput</formula>
    </cfRule>
  </conditionalFormatting>
  <conditionalFormatting sqref="L15">
    <cfRule type="expression" dxfId="828" priority="220" stopIfTrue="1">
      <formula>RiskIsOutput</formula>
    </cfRule>
  </conditionalFormatting>
  <conditionalFormatting sqref="M15">
    <cfRule type="expression" dxfId="827" priority="221" stopIfTrue="1">
      <formula>RiskIsOutput</formula>
    </cfRule>
  </conditionalFormatting>
  <conditionalFormatting sqref="N15">
    <cfRule type="expression" dxfId="826" priority="222" stopIfTrue="1">
      <formula>RiskIsOutput</formula>
    </cfRule>
  </conditionalFormatting>
  <conditionalFormatting sqref="O15">
    <cfRule type="expression" dxfId="825" priority="223" stopIfTrue="1">
      <formula>RiskIsOutput</formula>
    </cfRule>
  </conditionalFormatting>
  <conditionalFormatting sqref="P15">
    <cfRule type="expression" dxfId="824" priority="224" stopIfTrue="1">
      <formula>RiskIsOutput</formula>
    </cfRule>
  </conditionalFormatting>
  <conditionalFormatting sqref="Q15">
    <cfRule type="expression" dxfId="823" priority="225" stopIfTrue="1">
      <formula>RiskIsOutput</formula>
    </cfRule>
  </conditionalFormatting>
  <conditionalFormatting sqref="R15">
    <cfRule type="expression" dxfId="822" priority="226" stopIfTrue="1">
      <formula>RiskIsOutput</formula>
    </cfRule>
  </conditionalFormatting>
  <conditionalFormatting sqref="S15">
    <cfRule type="expression" dxfId="821" priority="227" stopIfTrue="1">
      <formula>RiskIsOutput</formula>
    </cfRule>
  </conditionalFormatting>
  <conditionalFormatting sqref="T15">
    <cfRule type="expression" dxfId="820" priority="228" stopIfTrue="1">
      <formula>RiskIsOutput</formula>
    </cfRule>
  </conditionalFormatting>
  <conditionalFormatting sqref="U15">
    <cfRule type="expression" dxfId="819" priority="229" stopIfTrue="1">
      <formula>RiskIsOutput</formula>
    </cfRule>
  </conditionalFormatting>
  <conditionalFormatting sqref="V15">
    <cfRule type="expression" dxfId="818" priority="230" stopIfTrue="1">
      <formula>RiskIsOutput</formula>
    </cfRule>
  </conditionalFormatting>
  <conditionalFormatting sqref="W15">
    <cfRule type="expression" dxfId="817" priority="231" stopIfTrue="1">
      <formula>RiskIsOutput</formula>
    </cfRule>
  </conditionalFormatting>
  <conditionalFormatting sqref="X15">
    <cfRule type="expression" dxfId="816" priority="232" stopIfTrue="1">
      <formula>RiskIsOutput</formula>
    </cfRule>
  </conditionalFormatting>
  <conditionalFormatting sqref="Y15">
    <cfRule type="expression" dxfId="815" priority="233" stopIfTrue="1">
      <formula>RiskIsOutput</formula>
    </cfRule>
  </conditionalFormatting>
  <conditionalFormatting sqref="Z15">
    <cfRule type="expression" dxfId="814" priority="234" stopIfTrue="1">
      <formula>RiskIsOutput</formula>
    </cfRule>
  </conditionalFormatting>
  <conditionalFormatting sqref="AA15">
    <cfRule type="expression" dxfId="813" priority="235" stopIfTrue="1">
      <formula>RiskIsOutput</formula>
    </cfRule>
  </conditionalFormatting>
  <conditionalFormatting sqref="AB15">
    <cfRule type="expression" dxfId="812" priority="236" stopIfTrue="1">
      <formula>RiskIsOutput</formula>
    </cfRule>
  </conditionalFormatting>
  <conditionalFormatting sqref="AC15">
    <cfRule type="expression" dxfId="811" priority="237" stopIfTrue="1">
      <formula>RiskIsOutput</formula>
    </cfRule>
  </conditionalFormatting>
  <conditionalFormatting sqref="AD15">
    <cfRule type="expression" dxfId="810" priority="238" stopIfTrue="1">
      <formula>RiskIsOutput</formula>
    </cfRule>
  </conditionalFormatting>
  <conditionalFormatting sqref="AE15">
    <cfRule type="expression" dxfId="809" priority="239" stopIfTrue="1">
      <formula>RiskIsOutput</formula>
    </cfRule>
  </conditionalFormatting>
  <conditionalFormatting sqref="AF15">
    <cfRule type="expression" dxfId="808" priority="240" stopIfTrue="1">
      <formula>RiskIsOutput</formula>
    </cfRule>
  </conditionalFormatting>
  <conditionalFormatting sqref="B16">
    <cfRule type="expression" dxfId="807" priority="241" stopIfTrue="1">
      <formula>RiskIsOutput</formula>
    </cfRule>
  </conditionalFormatting>
  <conditionalFormatting sqref="C16">
    <cfRule type="expression" dxfId="806" priority="242" stopIfTrue="1">
      <formula>RiskIsOutput</formula>
    </cfRule>
  </conditionalFormatting>
  <conditionalFormatting sqref="D16">
    <cfRule type="expression" dxfId="805" priority="243" stopIfTrue="1">
      <formula>RiskIsOutput</formula>
    </cfRule>
  </conditionalFormatting>
  <conditionalFormatting sqref="E16">
    <cfRule type="expression" dxfId="804" priority="244" stopIfTrue="1">
      <formula>RiskIsOutput</formula>
    </cfRule>
  </conditionalFormatting>
  <conditionalFormatting sqref="F16">
    <cfRule type="expression" dxfId="803" priority="245" stopIfTrue="1">
      <formula>RiskIsOutput</formula>
    </cfRule>
  </conditionalFormatting>
  <conditionalFormatting sqref="G16">
    <cfRule type="expression" dxfId="802" priority="246" stopIfTrue="1">
      <formula>RiskIsOutput</formula>
    </cfRule>
  </conditionalFormatting>
  <conditionalFormatting sqref="H16">
    <cfRule type="expression" dxfId="801" priority="247" stopIfTrue="1">
      <formula>RiskIsOutput</formula>
    </cfRule>
  </conditionalFormatting>
  <conditionalFormatting sqref="I16">
    <cfRule type="expression" dxfId="800" priority="248" stopIfTrue="1">
      <formula>RiskIsOutput</formula>
    </cfRule>
  </conditionalFormatting>
  <conditionalFormatting sqref="J16">
    <cfRule type="expression" dxfId="799" priority="249" stopIfTrue="1">
      <formula>RiskIsOutput</formula>
    </cfRule>
  </conditionalFormatting>
  <conditionalFormatting sqref="K16">
    <cfRule type="expression" dxfId="798" priority="250" stopIfTrue="1">
      <formula>RiskIsOutput</formula>
    </cfRule>
  </conditionalFormatting>
  <conditionalFormatting sqref="L16">
    <cfRule type="expression" dxfId="797" priority="251" stopIfTrue="1">
      <formula>RiskIsOutput</formula>
    </cfRule>
  </conditionalFormatting>
  <conditionalFormatting sqref="M16">
    <cfRule type="expression" dxfId="796" priority="252" stopIfTrue="1">
      <formula>RiskIsOutput</formula>
    </cfRule>
  </conditionalFormatting>
  <conditionalFormatting sqref="N16">
    <cfRule type="expression" dxfId="795" priority="253" stopIfTrue="1">
      <formula>RiskIsOutput</formula>
    </cfRule>
  </conditionalFormatting>
  <conditionalFormatting sqref="O16">
    <cfRule type="expression" dxfId="794" priority="254" stopIfTrue="1">
      <formula>RiskIsOutput</formula>
    </cfRule>
  </conditionalFormatting>
  <conditionalFormatting sqref="P16">
    <cfRule type="expression" dxfId="793" priority="255" stopIfTrue="1">
      <formula>RiskIsOutput</formula>
    </cfRule>
  </conditionalFormatting>
  <conditionalFormatting sqref="Q16">
    <cfRule type="expression" dxfId="792" priority="256" stopIfTrue="1">
      <formula>RiskIsOutput</formula>
    </cfRule>
  </conditionalFormatting>
  <conditionalFormatting sqref="R16">
    <cfRule type="expression" dxfId="791" priority="257" stopIfTrue="1">
      <formula>RiskIsOutput</formula>
    </cfRule>
  </conditionalFormatting>
  <conditionalFormatting sqref="S16">
    <cfRule type="expression" dxfId="790" priority="258" stopIfTrue="1">
      <formula>RiskIsOutput</formula>
    </cfRule>
  </conditionalFormatting>
  <conditionalFormatting sqref="T16">
    <cfRule type="expression" dxfId="789" priority="259" stopIfTrue="1">
      <formula>RiskIsOutput</formula>
    </cfRule>
  </conditionalFormatting>
  <conditionalFormatting sqref="U16">
    <cfRule type="expression" dxfId="788" priority="260" stopIfTrue="1">
      <formula>RiskIsOutput</formula>
    </cfRule>
  </conditionalFormatting>
  <conditionalFormatting sqref="V16">
    <cfRule type="expression" dxfId="787" priority="261" stopIfTrue="1">
      <formula>RiskIsOutput</formula>
    </cfRule>
  </conditionalFormatting>
  <conditionalFormatting sqref="W16">
    <cfRule type="expression" dxfId="786" priority="262" stopIfTrue="1">
      <formula>RiskIsOutput</formula>
    </cfRule>
  </conditionalFormatting>
  <conditionalFormatting sqref="X16">
    <cfRule type="expression" dxfId="785" priority="263" stopIfTrue="1">
      <formula>RiskIsOutput</formula>
    </cfRule>
  </conditionalFormatting>
  <conditionalFormatting sqref="Y16">
    <cfRule type="expression" dxfId="784" priority="264" stopIfTrue="1">
      <formula>RiskIsOutput</formula>
    </cfRule>
  </conditionalFormatting>
  <conditionalFormatting sqref="Z16">
    <cfRule type="expression" dxfId="783" priority="265" stopIfTrue="1">
      <formula>RiskIsOutput</formula>
    </cfRule>
  </conditionalFormatting>
  <conditionalFormatting sqref="AA16">
    <cfRule type="expression" dxfId="782" priority="266" stopIfTrue="1">
      <formula>RiskIsOutput</formula>
    </cfRule>
  </conditionalFormatting>
  <conditionalFormatting sqref="AB16">
    <cfRule type="expression" dxfId="781" priority="267" stopIfTrue="1">
      <formula>RiskIsOutput</formula>
    </cfRule>
  </conditionalFormatting>
  <conditionalFormatting sqref="AC16">
    <cfRule type="expression" dxfId="780" priority="268" stopIfTrue="1">
      <formula>RiskIsOutput</formula>
    </cfRule>
  </conditionalFormatting>
  <conditionalFormatting sqref="AD16">
    <cfRule type="expression" dxfId="779" priority="269" stopIfTrue="1">
      <formula>RiskIsOutput</formula>
    </cfRule>
  </conditionalFormatting>
  <conditionalFormatting sqref="AE16">
    <cfRule type="expression" dxfId="778" priority="270" stopIfTrue="1">
      <formula>RiskIsOutput</formula>
    </cfRule>
  </conditionalFormatting>
  <conditionalFormatting sqref="AF16">
    <cfRule type="expression" dxfId="777" priority="271" stopIfTrue="1">
      <formula>RiskIsOutput</formula>
    </cfRule>
  </conditionalFormatting>
  <conditionalFormatting sqref="B20">
    <cfRule type="expression" dxfId="776" priority="272" stopIfTrue="1">
      <formula>RiskIsOutput</formula>
    </cfRule>
  </conditionalFormatting>
  <conditionalFormatting sqref="C20">
    <cfRule type="expression" dxfId="775" priority="273" stopIfTrue="1">
      <formula>RiskIsOutput</formula>
    </cfRule>
  </conditionalFormatting>
  <conditionalFormatting sqref="D20">
    <cfRule type="expression" dxfId="774" priority="274" stopIfTrue="1">
      <formula>RiskIsOutput</formula>
    </cfRule>
  </conditionalFormatting>
  <conditionalFormatting sqref="E20">
    <cfRule type="expression" dxfId="773" priority="275" stopIfTrue="1">
      <formula>RiskIsOutput</formula>
    </cfRule>
  </conditionalFormatting>
  <conditionalFormatting sqref="F20">
    <cfRule type="expression" dxfId="772" priority="276" stopIfTrue="1">
      <formula>RiskIsOutput</formula>
    </cfRule>
  </conditionalFormatting>
  <conditionalFormatting sqref="G20">
    <cfRule type="expression" dxfId="771" priority="277" stopIfTrue="1">
      <formula>RiskIsOutput</formula>
    </cfRule>
  </conditionalFormatting>
  <conditionalFormatting sqref="H20">
    <cfRule type="expression" dxfId="770" priority="278" stopIfTrue="1">
      <formula>RiskIsOutput</formula>
    </cfRule>
  </conditionalFormatting>
  <conditionalFormatting sqref="I20">
    <cfRule type="expression" dxfId="769" priority="279" stopIfTrue="1">
      <formula>RiskIsOutput</formula>
    </cfRule>
  </conditionalFormatting>
  <conditionalFormatting sqref="J20">
    <cfRule type="expression" dxfId="768" priority="280" stopIfTrue="1">
      <formula>RiskIsOutput</formula>
    </cfRule>
  </conditionalFormatting>
  <conditionalFormatting sqref="K20">
    <cfRule type="expression" dxfId="767" priority="281" stopIfTrue="1">
      <formula>RiskIsOutput</formula>
    </cfRule>
  </conditionalFormatting>
  <conditionalFormatting sqref="L20">
    <cfRule type="expression" dxfId="766" priority="282" stopIfTrue="1">
      <formula>RiskIsOutput</formula>
    </cfRule>
  </conditionalFormatting>
  <conditionalFormatting sqref="M20">
    <cfRule type="expression" dxfId="765" priority="283" stopIfTrue="1">
      <formula>RiskIsOutput</formula>
    </cfRule>
  </conditionalFormatting>
  <conditionalFormatting sqref="N20">
    <cfRule type="expression" dxfId="764" priority="284" stopIfTrue="1">
      <formula>RiskIsOutput</formula>
    </cfRule>
  </conditionalFormatting>
  <conditionalFormatting sqref="O20">
    <cfRule type="expression" dxfId="763" priority="285" stopIfTrue="1">
      <formula>RiskIsOutput</formula>
    </cfRule>
  </conditionalFormatting>
  <conditionalFormatting sqref="P20">
    <cfRule type="expression" dxfId="762" priority="286" stopIfTrue="1">
      <formula>RiskIsOutput</formula>
    </cfRule>
  </conditionalFormatting>
  <conditionalFormatting sqref="Q20">
    <cfRule type="expression" dxfId="761" priority="287" stopIfTrue="1">
      <formula>RiskIsOutput</formula>
    </cfRule>
  </conditionalFormatting>
  <conditionalFormatting sqref="R20">
    <cfRule type="expression" dxfId="760" priority="288" stopIfTrue="1">
      <formula>RiskIsOutput</formula>
    </cfRule>
  </conditionalFormatting>
  <conditionalFormatting sqref="S20">
    <cfRule type="expression" dxfId="759" priority="289" stopIfTrue="1">
      <formula>RiskIsOutput</formula>
    </cfRule>
  </conditionalFormatting>
  <conditionalFormatting sqref="T20">
    <cfRule type="expression" dxfId="758" priority="290" stopIfTrue="1">
      <formula>RiskIsOutput</formula>
    </cfRule>
  </conditionalFormatting>
  <conditionalFormatting sqref="U20">
    <cfRule type="expression" dxfId="757" priority="291" stopIfTrue="1">
      <formula>RiskIsOutput</formula>
    </cfRule>
  </conditionalFormatting>
  <conditionalFormatting sqref="V20">
    <cfRule type="expression" dxfId="756" priority="292" stopIfTrue="1">
      <formula>RiskIsOutput</formula>
    </cfRule>
  </conditionalFormatting>
  <conditionalFormatting sqref="W20">
    <cfRule type="expression" dxfId="755" priority="293" stopIfTrue="1">
      <formula>RiskIsOutput</formula>
    </cfRule>
  </conditionalFormatting>
  <conditionalFormatting sqref="X20">
    <cfRule type="expression" dxfId="754" priority="294" stopIfTrue="1">
      <formula>RiskIsOutput</formula>
    </cfRule>
  </conditionalFormatting>
  <conditionalFormatting sqref="Y20">
    <cfRule type="expression" dxfId="753" priority="295" stopIfTrue="1">
      <formula>RiskIsOutput</formula>
    </cfRule>
  </conditionalFormatting>
  <conditionalFormatting sqref="Z20">
    <cfRule type="expression" dxfId="752" priority="296" stopIfTrue="1">
      <formula>RiskIsOutput</formula>
    </cfRule>
  </conditionalFormatting>
  <conditionalFormatting sqref="AA20">
    <cfRule type="expression" dxfId="751" priority="297" stopIfTrue="1">
      <formula>RiskIsOutput</formula>
    </cfRule>
  </conditionalFormatting>
  <conditionalFormatting sqref="AB20">
    <cfRule type="expression" dxfId="750" priority="298" stopIfTrue="1">
      <formula>RiskIsOutput</formula>
    </cfRule>
  </conditionalFormatting>
  <conditionalFormatting sqref="AC20">
    <cfRule type="expression" dxfId="749" priority="299" stopIfTrue="1">
      <formula>RiskIsOutput</formula>
    </cfRule>
  </conditionalFormatting>
  <conditionalFormatting sqref="AD20">
    <cfRule type="expression" dxfId="748" priority="300" stopIfTrue="1">
      <formula>RiskIsOutput</formula>
    </cfRule>
  </conditionalFormatting>
  <conditionalFormatting sqref="AE20">
    <cfRule type="expression" dxfId="747" priority="301" stopIfTrue="1">
      <formula>RiskIsOutput</formula>
    </cfRule>
  </conditionalFormatting>
  <conditionalFormatting sqref="AF20">
    <cfRule type="expression" dxfId="746" priority="302" stopIfTrue="1">
      <formula>RiskIsOutput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workbookViewId="0"/>
  </sheetViews>
  <sheetFormatPr defaultRowHeight="15" x14ac:dyDescent="0.25"/>
  <cols>
    <col min="1" max="1" width="25" bestFit="1" customWidth="1"/>
    <col min="2" max="2" width="15.5703125" bestFit="1" customWidth="1"/>
    <col min="3" max="8" width="13.5703125" bestFit="1" customWidth="1"/>
    <col min="9" max="32" width="11.85546875" bestFit="1" customWidth="1"/>
  </cols>
  <sheetData>
    <row r="1" spans="1:32" ht="45" x14ac:dyDescent="0.25">
      <c r="A1" s="12" t="s">
        <v>21</v>
      </c>
    </row>
    <row r="2" spans="1:32" x14ac:dyDescent="0.25">
      <c r="B2">
        <v>1995</v>
      </c>
      <c r="C2">
        <v>1996</v>
      </c>
      <c r="D2">
        <v>1997</v>
      </c>
      <c r="E2">
        <v>1998</v>
      </c>
      <c r="F2">
        <v>1999</v>
      </c>
      <c r="G2">
        <v>2000</v>
      </c>
      <c r="H2">
        <v>2001</v>
      </c>
      <c r="I2">
        <v>2002</v>
      </c>
      <c r="J2">
        <v>2003</v>
      </c>
      <c r="K2">
        <v>2004</v>
      </c>
      <c r="L2">
        <v>2005</v>
      </c>
      <c r="M2">
        <v>2006</v>
      </c>
      <c r="N2">
        <v>2007</v>
      </c>
      <c r="O2">
        <v>2008</v>
      </c>
      <c r="P2">
        <v>2009</v>
      </c>
      <c r="Q2">
        <v>2010</v>
      </c>
      <c r="R2">
        <v>2011</v>
      </c>
      <c r="S2">
        <v>2012</v>
      </c>
      <c r="T2">
        <v>2013</v>
      </c>
      <c r="U2">
        <v>2014</v>
      </c>
      <c r="V2">
        <v>2015</v>
      </c>
      <c r="W2">
        <v>2016</v>
      </c>
      <c r="X2">
        <v>2017</v>
      </c>
      <c r="Y2">
        <v>2018</v>
      </c>
      <c r="Z2">
        <v>2019</v>
      </c>
      <c r="AA2">
        <v>2020</v>
      </c>
      <c r="AB2">
        <v>2021</v>
      </c>
      <c r="AC2">
        <v>2022</v>
      </c>
      <c r="AD2">
        <v>2023</v>
      </c>
      <c r="AE2">
        <v>2024</v>
      </c>
      <c r="AF2">
        <v>2025</v>
      </c>
    </row>
    <row r="4" spans="1:32" x14ac:dyDescent="0.25">
      <c r="A4" t="s">
        <v>0</v>
      </c>
      <c r="B4" s="6">
        <v>103.5</v>
      </c>
      <c r="C4" s="6">
        <v>103.5</v>
      </c>
      <c r="D4" s="6">
        <v>103.5</v>
      </c>
      <c r="E4" s="6">
        <v>103.5</v>
      </c>
      <c r="F4" s="6">
        <v>103.5</v>
      </c>
      <c r="G4" s="6">
        <v>103.5</v>
      </c>
      <c r="H4" s="6">
        <v>103.5</v>
      </c>
      <c r="I4" s="6">
        <v>103.5</v>
      </c>
      <c r="J4" s="6">
        <v>103.5</v>
      </c>
      <c r="K4" s="6">
        <v>103.5</v>
      </c>
      <c r="L4" s="6">
        <v>103.5</v>
      </c>
      <c r="M4" s="6">
        <v>103.5</v>
      </c>
      <c r="N4" s="6">
        <v>103.5</v>
      </c>
      <c r="O4" s="6">
        <v>103.5</v>
      </c>
      <c r="P4" s="6">
        <v>103.5</v>
      </c>
      <c r="Q4" s="6">
        <v>103.5</v>
      </c>
      <c r="R4" s="6">
        <v>103.5</v>
      </c>
      <c r="S4" s="6">
        <v>103.5</v>
      </c>
      <c r="T4" s="6">
        <v>103.5</v>
      </c>
      <c r="U4" s="6">
        <v>103.5</v>
      </c>
      <c r="V4" s="6">
        <v>103.5</v>
      </c>
      <c r="W4" s="6">
        <v>103.5</v>
      </c>
      <c r="X4" s="6">
        <v>103.5</v>
      </c>
      <c r="Y4" s="6">
        <v>103.5</v>
      </c>
      <c r="Z4" s="6">
        <v>103.5</v>
      </c>
      <c r="AA4" s="6">
        <v>103.5</v>
      </c>
      <c r="AB4" s="6">
        <v>103.5</v>
      </c>
      <c r="AC4" s="6">
        <v>103.5</v>
      </c>
      <c r="AD4" s="6">
        <v>103.5</v>
      </c>
      <c r="AE4" s="6">
        <v>103.5</v>
      </c>
      <c r="AF4" s="6">
        <v>103.5</v>
      </c>
    </row>
    <row r="5" spans="1:32" x14ac:dyDescent="0.25">
      <c r="A5" t="s">
        <v>108</v>
      </c>
      <c r="B5" s="3">
        <v>31.8</v>
      </c>
      <c r="C5" s="3">
        <v>31.8</v>
      </c>
      <c r="D5" s="3">
        <v>31.8</v>
      </c>
      <c r="E5" s="3">
        <v>31.8</v>
      </c>
      <c r="F5" s="3">
        <v>31.8</v>
      </c>
      <c r="G5" s="3">
        <v>31.8</v>
      </c>
      <c r="H5" s="3">
        <v>31.8</v>
      </c>
      <c r="I5" s="3">
        <v>31.8</v>
      </c>
      <c r="J5" s="3">
        <v>31.8</v>
      </c>
      <c r="K5" s="3">
        <v>31.8</v>
      </c>
      <c r="L5" s="3">
        <v>31.8</v>
      </c>
      <c r="M5" s="3">
        <v>31.8</v>
      </c>
      <c r="N5" s="3">
        <v>31.8</v>
      </c>
      <c r="O5" s="3">
        <v>31.8</v>
      </c>
      <c r="P5" s="3">
        <v>31.8</v>
      </c>
      <c r="Q5" s="3">
        <v>37.700000000000003</v>
      </c>
      <c r="R5" s="3">
        <v>37.700000000000003</v>
      </c>
      <c r="S5" s="3">
        <v>37.700000000000003</v>
      </c>
      <c r="T5" s="3">
        <v>37.700000000000003</v>
      </c>
      <c r="U5" s="3">
        <v>37.700000000000003</v>
      </c>
      <c r="V5" s="3">
        <v>37.700000000000003</v>
      </c>
      <c r="W5" s="3">
        <v>37.700000000000003</v>
      </c>
      <c r="X5" s="3">
        <v>37.700000000000003</v>
      </c>
      <c r="Y5" s="3">
        <v>37.700000000000003</v>
      </c>
      <c r="Z5" s="3">
        <v>37.700000000000003</v>
      </c>
      <c r="AA5" s="3">
        <v>37.700000000000003</v>
      </c>
      <c r="AB5" s="3">
        <v>37.700000000000003</v>
      </c>
      <c r="AC5" s="3">
        <v>37.700000000000003</v>
      </c>
      <c r="AD5" s="3">
        <v>37.700000000000003</v>
      </c>
      <c r="AE5" s="3">
        <v>37.700000000000003</v>
      </c>
      <c r="AF5" s="3">
        <v>37.700000000000003</v>
      </c>
    </row>
    <row r="6" spans="1:32" x14ac:dyDescent="0.25">
      <c r="A6" t="s">
        <v>20</v>
      </c>
      <c r="B6" s="4">
        <v>0</v>
      </c>
      <c r="C6" s="4">
        <v>0</v>
      </c>
      <c r="D6" s="4">
        <v>-2</v>
      </c>
      <c r="E6" s="4">
        <v>-1</v>
      </c>
      <c r="F6" s="4">
        <v>0</v>
      </c>
      <c r="G6" s="4">
        <v>-1</v>
      </c>
      <c r="H6" s="4">
        <v>2</v>
      </c>
      <c r="I6" s="4">
        <v>0</v>
      </c>
      <c r="J6" s="4">
        <v>-1</v>
      </c>
      <c r="K6" s="4">
        <v>3</v>
      </c>
      <c r="L6" s="4">
        <v>5</v>
      </c>
      <c r="M6" s="4">
        <v>2</v>
      </c>
      <c r="N6" s="4">
        <v>0</v>
      </c>
      <c r="O6" s="4">
        <v>-2</v>
      </c>
      <c r="P6" s="4">
        <v>-1</v>
      </c>
      <c r="Q6" s="4">
        <v>1</v>
      </c>
      <c r="R6" s="4">
        <v>1</v>
      </c>
      <c r="S6" s="4">
        <v>0</v>
      </c>
      <c r="T6" s="4">
        <v>2</v>
      </c>
      <c r="U6" s="4">
        <v>3</v>
      </c>
      <c r="V6" s="4">
        <v>1</v>
      </c>
      <c r="W6" s="4">
        <v>-1</v>
      </c>
      <c r="X6" s="4">
        <v>-2</v>
      </c>
      <c r="Y6" s="4">
        <v>2</v>
      </c>
      <c r="Z6" s="4">
        <v>1</v>
      </c>
      <c r="AA6" s="4">
        <v>3</v>
      </c>
      <c r="AB6" s="4">
        <v>1</v>
      </c>
      <c r="AC6" s="4">
        <v>2</v>
      </c>
      <c r="AD6" s="4">
        <v>1</v>
      </c>
      <c r="AE6" s="4">
        <v>0</v>
      </c>
      <c r="AF6" s="4">
        <v>0</v>
      </c>
    </row>
    <row r="7" spans="1:32" x14ac:dyDescent="0.25">
      <c r="A7" t="s">
        <v>8</v>
      </c>
      <c r="B7" s="3">
        <f>B5+B6</f>
        <v>31.8</v>
      </c>
      <c r="C7" s="3">
        <f t="shared" ref="C7:AD7" si="0">C5+C6</f>
        <v>31.8</v>
      </c>
      <c r="D7" s="3">
        <f t="shared" si="0"/>
        <v>29.8</v>
      </c>
      <c r="E7" s="3">
        <f t="shared" si="0"/>
        <v>30.8</v>
      </c>
      <c r="F7" s="3">
        <f t="shared" si="0"/>
        <v>31.8</v>
      </c>
      <c r="G7" s="3">
        <f t="shared" si="0"/>
        <v>30.8</v>
      </c>
      <c r="H7" s="3">
        <f t="shared" si="0"/>
        <v>33.799999999999997</v>
      </c>
      <c r="I7" s="3">
        <f t="shared" si="0"/>
        <v>31.8</v>
      </c>
      <c r="J7" s="3">
        <f t="shared" si="0"/>
        <v>30.8</v>
      </c>
      <c r="K7" s="3">
        <f t="shared" si="0"/>
        <v>34.799999999999997</v>
      </c>
      <c r="L7" s="3">
        <f t="shared" si="0"/>
        <v>36.799999999999997</v>
      </c>
      <c r="M7" s="3">
        <f t="shared" si="0"/>
        <v>33.799999999999997</v>
      </c>
      <c r="N7" s="3">
        <f t="shared" si="0"/>
        <v>31.8</v>
      </c>
      <c r="O7" s="3">
        <f t="shared" si="0"/>
        <v>29.8</v>
      </c>
      <c r="P7" s="3">
        <f t="shared" si="0"/>
        <v>30.8</v>
      </c>
      <c r="Q7" s="3">
        <f t="shared" si="0"/>
        <v>38.700000000000003</v>
      </c>
      <c r="R7" s="3">
        <f t="shared" si="0"/>
        <v>38.700000000000003</v>
      </c>
      <c r="S7" s="3">
        <f t="shared" si="0"/>
        <v>37.700000000000003</v>
      </c>
      <c r="T7" s="3">
        <f t="shared" si="0"/>
        <v>39.700000000000003</v>
      </c>
      <c r="U7" s="3">
        <f t="shared" si="0"/>
        <v>40.700000000000003</v>
      </c>
      <c r="V7" s="3">
        <f t="shared" si="0"/>
        <v>38.700000000000003</v>
      </c>
      <c r="W7" s="3">
        <f t="shared" si="0"/>
        <v>36.700000000000003</v>
      </c>
      <c r="X7" s="3">
        <f t="shared" si="0"/>
        <v>35.700000000000003</v>
      </c>
      <c r="Y7" s="3">
        <f t="shared" si="0"/>
        <v>39.700000000000003</v>
      </c>
      <c r="Z7" s="3">
        <f t="shared" si="0"/>
        <v>38.700000000000003</v>
      </c>
      <c r="AA7" s="3">
        <f t="shared" si="0"/>
        <v>40.700000000000003</v>
      </c>
      <c r="AB7" s="3">
        <f t="shared" si="0"/>
        <v>38.700000000000003</v>
      </c>
      <c r="AC7" s="3">
        <f t="shared" si="0"/>
        <v>39.700000000000003</v>
      </c>
      <c r="AD7" s="3">
        <f t="shared" si="0"/>
        <v>38.700000000000003</v>
      </c>
      <c r="AE7">
        <f t="shared" ref="AE7:AF7" si="1">AD7-0.2</f>
        <v>38.5</v>
      </c>
      <c r="AF7">
        <f t="shared" si="1"/>
        <v>38.299999999999997</v>
      </c>
    </row>
    <row r="8" spans="1:32" x14ac:dyDescent="0.25">
      <c r="A8" t="s">
        <v>10</v>
      </c>
      <c r="B8" s="9">
        <f>28.10645468</f>
        <v>28.106454679999999</v>
      </c>
      <c r="C8" s="9">
        <f>28.10645468</f>
        <v>28.106454679999999</v>
      </c>
      <c r="D8" s="9">
        <f>26.10645468</f>
        <v>26.106454679999999</v>
      </c>
      <c r="E8" s="9">
        <f>27.10645468</f>
        <v>27.106454679999999</v>
      </c>
      <c r="F8" s="9">
        <f>28.10645468</f>
        <v>28.106454679999999</v>
      </c>
      <c r="G8" s="9">
        <f>27.10645468</f>
        <v>27.106454679999999</v>
      </c>
      <c r="H8" s="9">
        <f>30.10645468</f>
        <v>30.106454679999999</v>
      </c>
      <c r="I8" s="9">
        <f>28.10645468</f>
        <v>28.106454679999999</v>
      </c>
      <c r="J8" s="9">
        <f>27.10645468</f>
        <v>27.106454679999999</v>
      </c>
      <c r="K8" s="9">
        <f>31.10645468</f>
        <v>31.106454679999999</v>
      </c>
      <c r="L8" s="9">
        <f>33.10645468</f>
        <v>33.106454679999999</v>
      </c>
      <c r="M8" s="9">
        <f>30.10645468</f>
        <v>30.106454679999999</v>
      </c>
      <c r="N8" s="9">
        <f>28.10645468</f>
        <v>28.106454679999999</v>
      </c>
      <c r="O8" s="9">
        <f>26.10645468</f>
        <v>26.106454679999999</v>
      </c>
      <c r="P8" s="9">
        <f>27.10645468</f>
        <v>27.106454679999999</v>
      </c>
      <c r="Q8">
        <f>38.7</f>
        <v>38.700000000000003</v>
      </c>
      <c r="R8">
        <f>38.7</f>
        <v>38.700000000000003</v>
      </c>
      <c r="S8">
        <f>37.7</f>
        <v>37.700000000000003</v>
      </c>
      <c r="T8">
        <f>39.7</f>
        <v>39.700000000000003</v>
      </c>
      <c r="U8">
        <f>40.7</f>
        <v>40.700000000000003</v>
      </c>
      <c r="V8">
        <f>38.7</f>
        <v>38.700000000000003</v>
      </c>
      <c r="W8">
        <f>36.7</f>
        <v>36.700000000000003</v>
      </c>
      <c r="X8">
        <f>35.7</f>
        <v>35.700000000000003</v>
      </c>
      <c r="Y8">
        <f>39.7</f>
        <v>39.700000000000003</v>
      </c>
      <c r="Z8">
        <f>38.7</f>
        <v>38.700000000000003</v>
      </c>
      <c r="AA8">
        <f>40.7</f>
        <v>40.700000000000003</v>
      </c>
      <c r="AB8">
        <f>38.7</f>
        <v>38.700000000000003</v>
      </c>
      <c r="AC8">
        <f>39.7</f>
        <v>39.700000000000003</v>
      </c>
      <c r="AD8">
        <f>38.7</f>
        <v>38.700000000000003</v>
      </c>
      <c r="AE8">
        <f>38.5</f>
        <v>38.5</v>
      </c>
      <c r="AF8">
        <f>38.3</f>
        <v>38.299999999999997</v>
      </c>
    </row>
    <row r="9" spans="1:32" x14ac:dyDescent="0.25">
      <c r="A9" t="s">
        <v>39</v>
      </c>
      <c r="B9" t="s">
        <v>109</v>
      </c>
      <c r="C9" t="s">
        <v>109</v>
      </c>
      <c r="D9" t="s">
        <v>109</v>
      </c>
      <c r="E9" t="s">
        <v>109</v>
      </c>
      <c r="F9" t="s">
        <v>109</v>
      </c>
      <c r="G9" t="s">
        <v>109</v>
      </c>
      <c r="H9" t="s">
        <v>109</v>
      </c>
      <c r="I9" t="s">
        <v>109</v>
      </c>
      <c r="J9" t="s">
        <v>109</v>
      </c>
      <c r="K9" t="s">
        <v>109</v>
      </c>
      <c r="L9" t="s">
        <v>109</v>
      </c>
      <c r="M9" t="s">
        <v>109</v>
      </c>
      <c r="N9" t="s">
        <v>109</v>
      </c>
      <c r="O9" t="s">
        <v>109</v>
      </c>
      <c r="P9" t="s">
        <v>109</v>
      </c>
      <c r="Q9" s="17" t="s">
        <v>38</v>
      </c>
      <c r="R9" t="s">
        <v>38</v>
      </c>
      <c r="S9" t="s">
        <v>38</v>
      </c>
      <c r="T9" t="s">
        <v>38</v>
      </c>
      <c r="U9" t="s">
        <v>38</v>
      </c>
      <c r="V9" t="s">
        <v>38</v>
      </c>
      <c r="W9" t="s">
        <v>38</v>
      </c>
      <c r="X9" t="s">
        <v>38</v>
      </c>
      <c r="Y9" t="s">
        <v>38</v>
      </c>
      <c r="Z9" t="s">
        <v>38</v>
      </c>
      <c r="AA9" t="s">
        <v>38</v>
      </c>
      <c r="AB9" t="s">
        <v>38</v>
      </c>
      <c r="AC9" t="s">
        <v>38</v>
      </c>
      <c r="AD9" t="s">
        <v>38</v>
      </c>
      <c r="AE9" t="s">
        <v>38</v>
      </c>
      <c r="AF9" t="s">
        <v>38</v>
      </c>
    </row>
    <row r="10" spans="1:32" x14ac:dyDescent="0.25">
      <c r="A10" t="s">
        <v>40</v>
      </c>
      <c r="B10">
        <v>2000</v>
      </c>
      <c r="C10">
        <v>2000</v>
      </c>
      <c r="D10">
        <v>2000</v>
      </c>
      <c r="E10">
        <v>2000</v>
      </c>
      <c r="F10">
        <v>2000</v>
      </c>
      <c r="G10">
        <v>2000</v>
      </c>
      <c r="H10">
        <v>2000</v>
      </c>
      <c r="I10">
        <v>2000</v>
      </c>
      <c r="J10">
        <v>2000</v>
      </c>
      <c r="K10">
        <v>2000</v>
      </c>
      <c r="L10">
        <v>2000</v>
      </c>
      <c r="M10">
        <v>2000</v>
      </c>
      <c r="N10">
        <v>2000</v>
      </c>
      <c r="O10">
        <v>2000</v>
      </c>
      <c r="P10">
        <v>2000</v>
      </c>
      <c r="Q10">
        <v>2000</v>
      </c>
      <c r="R10">
        <v>2000</v>
      </c>
      <c r="S10">
        <v>2000</v>
      </c>
      <c r="T10">
        <v>2000</v>
      </c>
      <c r="U10">
        <v>2000</v>
      </c>
      <c r="V10">
        <v>2000</v>
      </c>
      <c r="W10">
        <v>2000</v>
      </c>
      <c r="X10">
        <v>2000</v>
      </c>
      <c r="Y10">
        <v>2000</v>
      </c>
      <c r="Z10">
        <v>2000</v>
      </c>
      <c r="AA10">
        <v>2000</v>
      </c>
      <c r="AB10">
        <v>2000</v>
      </c>
      <c r="AC10">
        <v>2000</v>
      </c>
      <c r="AD10">
        <v>2000</v>
      </c>
      <c r="AE10">
        <v>2000</v>
      </c>
      <c r="AF10">
        <v>2000</v>
      </c>
    </row>
    <row r="11" spans="1:32" x14ac:dyDescent="0.25">
      <c r="A11" t="s">
        <v>41</v>
      </c>
      <c r="B11" s="8">
        <f>B8*B10</f>
        <v>56212.909359999998</v>
      </c>
      <c r="C11" s="8">
        <f>C8*C10</f>
        <v>56212.909359999998</v>
      </c>
      <c r="D11" s="8">
        <f>D8*D10</f>
        <v>52212.909359999998</v>
      </c>
      <c r="E11" s="8">
        <f>E8*E10</f>
        <v>54212.909359999998</v>
      </c>
      <c r="F11" s="8">
        <f>F8*F10</f>
        <v>56212.909359999998</v>
      </c>
      <c r="G11" s="8">
        <f>G8*G10</f>
        <v>54212.909359999998</v>
      </c>
      <c r="H11" s="8">
        <f>H8*H10</f>
        <v>60212.909359999998</v>
      </c>
      <c r="I11" s="8">
        <f>I8*I10</f>
        <v>56212.909359999998</v>
      </c>
      <c r="J11" s="8">
        <f>J8*J10</f>
        <v>54212.909359999998</v>
      </c>
      <c r="K11" s="8">
        <f>K8*K10</f>
        <v>62212.909359999998</v>
      </c>
      <c r="L11" s="8">
        <f>L8*L10</f>
        <v>66212.909359999991</v>
      </c>
      <c r="M11" s="8">
        <f>M8*M10</f>
        <v>60212.909359999998</v>
      </c>
      <c r="N11" s="8">
        <f>N8*N10</f>
        <v>56212.909359999998</v>
      </c>
      <c r="O11" s="8">
        <f>O8*O10</f>
        <v>52212.909359999998</v>
      </c>
      <c r="P11" s="8">
        <f>P8*P10</f>
        <v>54212.909359999998</v>
      </c>
      <c r="Q11">
        <f>Q8*Q10</f>
        <v>77400</v>
      </c>
      <c r="R11">
        <f>R8*R10</f>
        <v>77400</v>
      </c>
      <c r="S11">
        <f>S8*S10</f>
        <v>75400</v>
      </c>
      <c r="T11">
        <f>T8*T10</f>
        <v>79400</v>
      </c>
      <c r="U11">
        <f>U8*U10</f>
        <v>81400</v>
      </c>
      <c r="V11">
        <f>V8*V10</f>
        <v>77400</v>
      </c>
      <c r="W11">
        <f>W8*W10</f>
        <v>73400</v>
      </c>
      <c r="X11">
        <f>X8*X10</f>
        <v>71400</v>
      </c>
      <c r="Y11">
        <f>Y8*Y10</f>
        <v>79400</v>
      </c>
      <c r="Z11">
        <f>Z8*Z10</f>
        <v>77400</v>
      </c>
      <c r="AA11">
        <f>AA8*AA10</f>
        <v>81400</v>
      </c>
      <c r="AB11">
        <f>AB8*AB10</f>
        <v>77400</v>
      </c>
      <c r="AC11">
        <f>AC8*AC10</f>
        <v>79400</v>
      </c>
      <c r="AD11">
        <f>AD8*AD10</f>
        <v>77400</v>
      </c>
      <c r="AE11">
        <f>AE8*AE10</f>
        <v>77000</v>
      </c>
      <c r="AF11">
        <f>AF8*AF10</f>
        <v>76600</v>
      </c>
    </row>
    <row r="12" spans="1:32" x14ac:dyDescent="0.25">
      <c r="A12" t="s">
        <v>7</v>
      </c>
      <c r="B12" s="1">
        <f t="shared" ref="B12:AF12" si="2">B4*B10</f>
        <v>207000</v>
      </c>
      <c r="C12" s="1">
        <f t="shared" si="2"/>
        <v>207000</v>
      </c>
      <c r="D12" s="1">
        <f t="shared" si="2"/>
        <v>207000</v>
      </c>
      <c r="E12" s="1">
        <f t="shared" si="2"/>
        <v>207000</v>
      </c>
      <c r="F12" s="1">
        <f t="shared" si="2"/>
        <v>207000</v>
      </c>
      <c r="G12" s="1">
        <f t="shared" si="2"/>
        <v>207000</v>
      </c>
      <c r="H12" s="1">
        <f t="shared" si="2"/>
        <v>207000</v>
      </c>
      <c r="I12" s="1">
        <f t="shared" si="2"/>
        <v>207000</v>
      </c>
      <c r="J12" s="1">
        <f t="shared" si="2"/>
        <v>207000</v>
      </c>
      <c r="K12" s="1">
        <f t="shared" si="2"/>
        <v>207000</v>
      </c>
      <c r="L12" s="1">
        <f t="shared" si="2"/>
        <v>207000</v>
      </c>
      <c r="M12" s="1">
        <f t="shared" si="2"/>
        <v>207000</v>
      </c>
      <c r="N12" s="1">
        <f t="shared" si="2"/>
        <v>207000</v>
      </c>
      <c r="O12" s="1">
        <f t="shared" si="2"/>
        <v>207000</v>
      </c>
      <c r="P12" s="1">
        <f t="shared" si="2"/>
        <v>207000</v>
      </c>
      <c r="Q12" s="1">
        <f t="shared" si="2"/>
        <v>207000</v>
      </c>
      <c r="R12" s="1">
        <f t="shared" si="2"/>
        <v>207000</v>
      </c>
      <c r="S12" s="1">
        <f t="shared" si="2"/>
        <v>207000</v>
      </c>
      <c r="T12" s="1">
        <f t="shared" si="2"/>
        <v>207000</v>
      </c>
      <c r="U12" s="1">
        <f t="shared" si="2"/>
        <v>207000</v>
      </c>
      <c r="V12" s="1">
        <f t="shared" si="2"/>
        <v>207000</v>
      </c>
      <c r="W12" s="1">
        <f t="shared" si="2"/>
        <v>207000</v>
      </c>
      <c r="X12" s="1">
        <f t="shared" si="2"/>
        <v>207000</v>
      </c>
      <c r="Y12" s="1">
        <f t="shared" si="2"/>
        <v>207000</v>
      </c>
      <c r="Z12" s="1">
        <f t="shared" si="2"/>
        <v>207000</v>
      </c>
      <c r="AA12" s="1">
        <f t="shared" si="2"/>
        <v>207000</v>
      </c>
      <c r="AB12" s="1">
        <f t="shared" si="2"/>
        <v>207000</v>
      </c>
      <c r="AC12" s="1">
        <f t="shared" si="2"/>
        <v>207000</v>
      </c>
      <c r="AD12" s="1">
        <f t="shared" si="2"/>
        <v>207000</v>
      </c>
      <c r="AE12" s="1">
        <f t="shared" si="2"/>
        <v>207000</v>
      </c>
      <c r="AF12" s="1">
        <f t="shared" si="2"/>
        <v>207000</v>
      </c>
    </row>
    <row r="13" spans="1:32" x14ac:dyDescent="0.25">
      <c r="A13" t="s">
        <v>3</v>
      </c>
      <c r="B13" s="2">
        <v>4.2</v>
      </c>
      <c r="C13" s="2">
        <v>4.2</v>
      </c>
      <c r="D13" s="2">
        <v>4.2</v>
      </c>
      <c r="E13" s="2">
        <v>4.2</v>
      </c>
      <c r="F13" s="2">
        <v>4.2</v>
      </c>
      <c r="G13" s="2">
        <v>4.2</v>
      </c>
      <c r="H13" s="2">
        <v>4.2</v>
      </c>
      <c r="I13" s="2">
        <v>4.2</v>
      </c>
      <c r="J13" s="2">
        <v>4.2</v>
      </c>
      <c r="K13" s="2">
        <v>4.2</v>
      </c>
      <c r="L13" s="2">
        <v>4.2</v>
      </c>
      <c r="M13" s="2">
        <v>4.2</v>
      </c>
      <c r="N13" s="2">
        <v>4.2</v>
      </c>
      <c r="O13" s="2">
        <v>4.2</v>
      </c>
      <c r="P13" s="2">
        <v>4.2</v>
      </c>
      <c r="Q13" s="2">
        <v>4.2</v>
      </c>
      <c r="R13" s="2">
        <v>4.2</v>
      </c>
      <c r="S13" s="2">
        <v>4.2</v>
      </c>
      <c r="T13" s="2">
        <v>4.2</v>
      </c>
      <c r="U13" s="2">
        <v>4.2</v>
      </c>
      <c r="V13" s="2">
        <v>4.2</v>
      </c>
      <c r="W13" s="2">
        <v>4.2</v>
      </c>
      <c r="X13" s="2">
        <v>4.2</v>
      </c>
      <c r="Y13" s="2">
        <v>4.2</v>
      </c>
      <c r="Z13" s="2">
        <v>4.2</v>
      </c>
      <c r="AA13" s="2">
        <v>4.2</v>
      </c>
      <c r="AB13" s="2">
        <v>4.2</v>
      </c>
      <c r="AC13" s="2">
        <v>4.2</v>
      </c>
      <c r="AD13" s="2">
        <v>4.2</v>
      </c>
      <c r="AE13" s="2">
        <v>4.2</v>
      </c>
      <c r="AF13" s="2">
        <v>4.2</v>
      </c>
    </row>
    <row r="14" spans="1:32" x14ac:dyDescent="0.25">
      <c r="B14" s="2"/>
    </row>
    <row r="15" spans="1:32" x14ac:dyDescent="0.25">
      <c r="A15" t="s">
        <v>4</v>
      </c>
      <c r="B15" s="2">
        <f>B11*B13</f>
        <v>236094.219312</v>
      </c>
      <c r="C15" s="2">
        <f>C11*C13</f>
        <v>236094.219312</v>
      </c>
      <c r="D15" s="2">
        <f>D11*D13</f>
        <v>219294.219312</v>
      </c>
      <c r="E15" s="2">
        <f>E11*E13</f>
        <v>227694.219312</v>
      </c>
      <c r="F15" s="2">
        <f>F11*F13</f>
        <v>236094.219312</v>
      </c>
      <c r="G15" s="2">
        <f>G11*G13</f>
        <v>227694.219312</v>
      </c>
      <c r="H15" s="2">
        <f>H11*H13</f>
        <v>252894.219312</v>
      </c>
      <c r="I15" s="2">
        <f>I11*I13</f>
        <v>236094.219312</v>
      </c>
      <c r="J15" s="2">
        <f>J11*J13</f>
        <v>227694.219312</v>
      </c>
      <c r="K15" s="2">
        <f>K11*K13</f>
        <v>261294.219312</v>
      </c>
      <c r="L15" s="2">
        <f>L11*L13</f>
        <v>278094.21931199997</v>
      </c>
      <c r="M15" s="2">
        <f>M11*M13</f>
        <v>252894.219312</v>
      </c>
      <c r="N15" s="2">
        <f>N11*N13</f>
        <v>236094.219312</v>
      </c>
      <c r="O15" s="2">
        <f>O11*O13</f>
        <v>219294.219312</v>
      </c>
      <c r="P15" s="2">
        <f>P11*P13</f>
        <v>227694.219312</v>
      </c>
      <c r="Q15" s="2">
        <f>Q11*Q13</f>
        <v>325080</v>
      </c>
      <c r="R15" s="2">
        <f>R11*R13</f>
        <v>325080</v>
      </c>
      <c r="S15" s="2">
        <f>S11*S13</f>
        <v>316680</v>
      </c>
      <c r="T15" s="2">
        <f>T11*T13</f>
        <v>333480</v>
      </c>
      <c r="U15" s="2">
        <f>U11*U13</f>
        <v>341880</v>
      </c>
      <c r="V15" s="2">
        <f>V11*V13</f>
        <v>325080</v>
      </c>
      <c r="W15" s="2">
        <f>W11*W13</f>
        <v>308280</v>
      </c>
      <c r="X15" s="2">
        <f>X11*X13</f>
        <v>299880</v>
      </c>
      <c r="Y15" s="2">
        <f>Y11*Y13</f>
        <v>333480</v>
      </c>
      <c r="Z15" s="2">
        <f>Z11*Z13</f>
        <v>325080</v>
      </c>
      <c r="AA15" s="2">
        <f>AA11*AA13</f>
        <v>341880</v>
      </c>
      <c r="AB15" s="2">
        <f>AB11*AB13</f>
        <v>325080</v>
      </c>
      <c r="AC15" s="2">
        <f>AC11*AC13</f>
        <v>333480</v>
      </c>
      <c r="AD15" s="2">
        <f>AD11*AD13</f>
        <v>325080</v>
      </c>
      <c r="AE15" s="2">
        <f>AE11*AE13</f>
        <v>323400</v>
      </c>
      <c r="AF15" s="2">
        <f>AF11*AF13</f>
        <v>321720</v>
      </c>
    </row>
    <row r="16" spans="1:32" x14ac:dyDescent="0.25">
      <c r="A16" t="s">
        <v>5</v>
      </c>
      <c r="B16" s="2">
        <f>B15-B12</f>
        <v>29094.219312000001</v>
      </c>
      <c r="C16" s="2">
        <f>C15-C12</f>
        <v>29094.219312000001</v>
      </c>
      <c r="D16" s="2">
        <f>D15-D12</f>
        <v>12294.219312000001</v>
      </c>
      <c r="E16" s="2">
        <f>E15-E12</f>
        <v>20694.219312000001</v>
      </c>
      <c r="F16" s="2">
        <f>F15-F12</f>
        <v>29094.219312000001</v>
      </c>
      <c r="G16" s="2">
        <f>G15-G12</f>
        <v>20694.219312000001</v>
      </c>
      <c r="H16" s="2">
        <f>H15-H12</f>
        <v>45894.219312000001</v>
      </c>
      <c r="I16" s="2">
        <f>I15-I12</f>
        <v>29094.219312000001</v>
      </c>
      <c r="J16" s="2">
        <f>J15-J12</f>
        <v>20694.219312000001</v>
      </c>
      <c r="K16" s="2">
        <f>K15-K12</f>
        <v>54294.219312000001</v>
      </c>
      <c r="L16" s="2">
        <f>L15-L12</f>
        <v>71094.219311999972</v>
      </c>
      <c r="M16" s="2">
        <f>M15-M12</f>
        <v>45894.219312000001</v>
      </c>
      <c r="N16" s="2">
        <f>N15-N12</f>
        <v>29094.219312000001</v>
      </c>
      <c r="O16" s="2">
        <f>O15-O12</f>
        <v>12294.219312000001</v>
      </c>
      <c r="P16" s="2">
        <f>P15-P12</f>
        <v>20694.219312000001</v>
      </c>
      <c r="Q16" s="2">
        <f>Q15-Q12</f>
        <v>118080</v>
      </c>
      <c r="R16" s="2">
        <f>R15-R12</f>
        <v>118080</v>
      </c>
      <c r="S16" s="2">
        <f>S15-S12</f>
        <v>109680</v>
      </c>
      <c r="T16" s="2">
        <f>T15-T12</f>
        <v>126480</v>
      </c>
      <c r="U16" s="2">
        <f>U15-U12</f>
        <v>134880</v>
      </c>
      <c r="V16" s="2">
        <f>V15-V12</f>
        <v>118080</v>
      </c>
      <c r="W16" s="2">
        <f>W15-W12</f>
        <v>101280</v>
      </c>
      <c r="X16" s="2">
        <f>X15-X12</f>
        <v>92880</v>
      </c>
      <c r="Y16" s="2">
        <f>Y15-Y12</f>
        <v>126480</v>
      </c>
      <c r="Z16" s="2">
        <f>Z15-Z12</f>
        <v>118080</v>
      </c>
      <c r="AA16" s="2">
        <f>AA15-AA12</f>
        <v>134880</v>
      </c>
      <c r="AB16" s="2">
        <f>AB15-AB12</f>
        <v>118080</v>
      </c>
      <c r="AC16" s="2">
        <f>AC15-AC12</f>
        <v>126480</v>
      </c>
      <c r="AD16" s="2">
        <f>AD15-AD12</f>
        <v>118080</v>
      </c>
      <c r="AE16" s="2">
        <f>AE15-AE12</f>
        <v>116400</v>
      </c>
      <c r="AF16" s="2">
        <f>AF15-AF12</f>
        <v>114720</v>
      </c>
    </row>
    <row r="17" spans="1:32" x14ac:dyDescent="0.25">
      <c r="B17" s="2"/>
    </row>
    <row r="20" spans="1:32" x14ac:dyDescent="0.25">
      <c r="A20" t="s">
        <v>6</v>
      </c>
      <c r="B20" s="1">
        <f>NPV(3%,B16:AF16)</f>
        <v>1322250.5233990306</v>
      </c>
      <c r="C20" s="1">
        <f>NPV(3%,C16:AF16)</f>
        <v>1332823.8197890017</v>
      </c>
      <c r="D20" s="1">
        <f>NPV(3%,D16:AF16)</f>
        <v>1343714.3150706717</v>
      </c>
      <c r="E20" s="1">
        <f>NPV(3%,E16:AF16)</f>
        <v>1371731.5252107917</v>
      </c>
      <c r="F20" s="1">
        <f>NPV(3%,F16:AF16)</f>
        <v>1392189.251655116</v>
      </c>
      <c r="G20" s="1">
        <f>NPV(3%,G16:AF16)</f>
        <v>1404860.7098927691</v>
      </c>
      <c r="H20" s="1">
        <f>NPV(3%,H16:AF16)</f>
        <v>1426312.3118775524</v>
      </c>
      <c r="I20" s="1">
        <f>NPV(3%,I16:AF16)</f>
        <v>1423207.4619218789</v>
      </c>
      <c r="J20" s="1">
        <f>NPV(3%,J16:AF16)</f>
        <v>1436809.4664675356</v>
      </c>
      <c r="K20" s="1">
        <f>NPV(3%,K16:AF16)</f>
        <v>1459219.5311495615</v>
      </c>
      <c r="L20" s="1">
        <f>NPV(3%,L16:AO16)</f>
        <v>1448701.8977720481</v>
      </c>
      <c r="M20" s="1">
        <f>NPV(3%,M16:AP16)</f>
        <v>1421068.7353932098</v>
      </c>
      <c r="N20" s="1">
        <f>NPV(3%,N16:AQ16)</f>
        <v>1417806.5781430062</v>
      </c>
      <c r="O20" s="1">
        <f>NPV(3%,O16:AR16)</f>
        <v>1431246.5561752962</v>
      </c>
      <c r="P20" s="1">
        <f>NPV(3%,P16:AS16)</f>
        <v>1461889.7335485555</v>
      </c>
      <c r="Q20" s="1">
        <f>NPV(3%,Q16:AT16)</f>
        <v>1485052.2062430121</v>
      </c>
      <c r="R20" s="1">
        <f>NPV(3%,R16:AU16)</f>
        <v>1411523.7724303028</v>
      </c>
      <c r="S20" s="1">
        <f>NPV(3%,S16:AV16)</f>
        <v>1335789.4856032117</v>
      </c>
      <c r="T20" s="1">
        <f>NPV(3%,T16:AW16)</f>
        <v>1266183.1701713086</v>
      </c>
      <c r="U20" s="1">
        <f>NPV(3%,U16:AX16)</f>
        <v>1177688.6652764473</v>
      </c>
      <c r="V20" s="1">
        <f>NPV(3%,V16:AY16)</f>
        <v>1078139.3252347407</v>
      </c>
      <c r="W20" s="1">
        <f>NPV(3%,W16:AZ16)</f>
        <v>992403.50499178306</v>
      </c>
      <c r="X20" s="1">
        <f>NPV(3%,X16:BA16)</f>
        <v>920895.61014153669</v>
      </c>
      <c r="Y20" s="1">
        <f>NPV(3%,Y16:BB16)</f>
        <v>855642.47844578268</v>
      </c>
      <c r="Z20" s="1">
        <f>NPV(3%,Z16:BC16)</f>
        <v>754831.75279915624</v>
      </c>
      <c r="AA20" s="1">
        <f>NPV(3%,AA16:BD16)</f>
        <v>659396.70538313093</v>
      </c>
      <c r="AB20" s="1">
        <f>NPV(3%,AB16:BE16)</f>
        <v>544298.60654462501</v>
      </c>
      <c r="AC20" s="1">
        <f>NPV(3%,AC16:BF16)</f>
        <v>442547.56474096369</v>
      </c>
      <c r="AD20" s="1">
        <f>NPV(3%,AD16:BG16)</f>
        <v>329343.99168319261</v>
      </c>
      <c r="AE20" s="1">
        <f>NPV(3%,AE16:BH16)</f>
        <v>221144.31143368836</v>
      </c>
      <c r="AF20" s="1">
        <f>NPV(3%,AF16:BI16)</f>
        <v>111378.64077669903</v>
      </c>
    </row>
    <row r="21" spans="1:32" x14ac:dyDescent="0.25">
      <c r="B21" s="1"/>
    </row>
    <row r="27" spans="1:32" x14ac:dyDescent="0.25">
      <c r="J27" s="3"/>
    </row>
    <row r="28" spans="1:32" x14ac:dyDescent="0.25">
      <c r="J28" s="3"/>
    </row>
    <row r="29" spans="1:32" x14ac:dyDescent="0.25">
      <c r="J29" s="3"/>
    </row>
    <row r="30" spans="1:32" x14ac:dyDescent="0.25">
      <c r="J30" s="3"/>
    </row>
    <row r="31" spans="1:32" x14ac:dyDescent="0.25">
      <c r="J31" s="3"/>
    </row>
    <row r="32" spans="1:32" x14ac:dyDescent="0.25">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row r="45" spans="10:10" x14ac:dyDescent="0.25">
      <c r="J45" s="3"/>
    </row>
    <row r="46" spans="10:10" x14ac:dyDescent="0.25">
      <c r="J46" s="3"/>
    </row>
    <row r="47" spans="10:10" x14ac:dyDescent="0.25">
      <c r="J47" s="3"/>
    </row>
    <row r="48" spans="10:10" x14ac:dyDescent="0.25">
      <c r="J48" s="3"/>
    </row>
    <row r="49" spans="10:10" x14ac:dyDescent="0.25">
      <c r="J49" s="3"/>
    </row>
    <row r="50" spans="10:10" x14ac:dyDescent="0.25">
      <c r="J50" s="3"/>
    </row>
    <row r="51" spans="10:10" x14ac:dyDescent="0.25">
      <c r="J51" s="3"/>
    </row>
    <row r="52" spans="10:10" x14ac:dyDescent="0.25">
      <c r="J52" s="3"/>
    </row>
    <row r="53" spans="10:10" x14ac:dyDescent="0.25">
      <c r="J53" s="3"/>
    </row>
    <row r="54" spans="10:10" x14ac:dyDescent="0.25">
      <c r="J54" s="3"/>
    </row>
    <row r="55" spans="10:10" x14ac:dyDescent="0.25">
      <c r="J55" s="3"/>
    </row>
    <row r="56" spans="10:10" x14ac:dyDescent="0.25">
      <c r="J56" s="3"/>
    </row>
  </sheetData>
  <conditionalFormatting sqref="B8">
    <cfRule type="expression" dxfId="745" priority="1" stopIfTrue="1">
      <formula>RiskIsInput</formula>
    </cfRule>
  </conditionalFormatting>
  <conditionalFormatting sqref="C8">
    <cfRule type="expression" dxfId="744" priority="2" stopIfTrue="1">
      <formula>RiskIsInput</formula>
    </cfRule>
  </conditionalFormatting>
  <conditionalFormatting sqref="D8">
    <cfRule type="expression" dxfId="743" priority="3" stopIfTrue="1">
      <formula>RiskIsInput</formula>
    </cfRule>
  </conditionalFormatting>
  <conditionalFormatting sqref="E8">
    <cfRule type="expression" dxfId="742" priority="4" stopIfTrue="1">
      <formula>RiskIsInput</formula>
    </cfRule>
  </conditionalFormatting>
  <conditionalFormatting sqref="F8">
    <cfRule type="expression" dxfId="741" priority="5" stopIfTrue="1">
      <formula>RiskIsInput</formula>
    </cfRule>
  </conditionalFormatting>
  <conditionalFormatting sqref="G8">
    <cfRule type="expression" dxfId="740" priority="6" stopIfTrue="1">
      <formula>RiskIsInput</formula>
    </cfRule>
  </conditionalFormatting>
  <conditionalFormatting sqref="H8">
    <cfRule type="expression" dxfId="739" priority="7" stopIfTrue="1">
      <formula>RiskIsInput</formula>
    </cfRule>
  </conditionalFormatting>
  <conditionalFormatting sqref="I8">
    <cfRule type="expression" dxfId="738" priority="8" stopIfTrue="1">
      <formula>RiskIsInput</formula>
    </cfRule>
  </conditionalFormatting>
  <conditionalFormatting sqref="J8">
    <cfRule type="expression" dxfId="737" priority="9" stopIfTrue="1">
      <formula>RiskIsInput</formula>
    </cfRule>
  </conditionalFormatting>
  <conditionalFormatting sqref="K8">
    <cfRule type="expression" dxfId="736" priority="10" stopIfTrue="1">
      <formula>RiskIsInput</formula>
    </cfRule>
  </conditionalFormatting>
  <conditionalFormatting sqref="L8">
    <cfRule type="expression" dxfId="735" priority="11" stopIfTrue="1">
      <formula>RiskIsInput</formula>
    </cfRule>
  </conditionalFormatting>
  <conditionalFormatting sqref="M8">
    <cfRule type="expression" dxfId="734" priority="12" stopIfTrue="1">
      <formula>RiskIsInput</formula>
    </cfRule>
  </conditionalFormatting>
  <conditionalFormatting sqref="N8">
    <cfRule type="expression" dxfId="733" priority="13" stopIfTrue="1">
      <formula>RiskIsInput</formula>
    </cfRule>
  </conditionalFormatting>
  <conditionalFormatting sqref="O8">
    <cfRule type="expression" dxfId="732" priority="14" stopIfTrue="1">
      <formula>RiskIsInput</formula>
    </cfRule>
  </conditionalFormatting>
  <conditionalFormatting sqref="P8">
    <cfRule type="expression" dxfId="731" priority="15" stopIfTrue="1">
      <formula>RiskIsInput</formula>
    </cfRule>
  </conditionalFormatting>
  <conditionalFormatting sqref="Q8">
    <cfRule type="expression" dxfId="730" priority="16" stopIfTrue="1">
      <formula>RiskIsInput</formula>
    </cfRule>
  </conditionalFormatting>
  <conditionalFormatting sqref="R8">
    <cfRule type="expression" dxfId="729" priority="17" stopIfTrue="1">
      <formula>RiskIsInput</formula>
    </cfRule>
  </conditionalFormatting>
  <conditionalFormatting sqref="S8">
    <cfRule type="expression" dxfId="728" priority="18" stopIfTrue="1">
      <formula>RiskIsInput</formula>
    </cfRule>
  </conditionalFormatting>
  <conditionalFormatting sqref="T8">
    <cfRule type="expression" dxfId="727" priority="19" stopIfTrue="1">
      <formula>RiskIsInput</formula>
    </cfRule>
  </conditionalFormatting>
  <conditionalFormatting sqref="U8">
    <cfRule type="expression" dxfId="726" priority="20" stopIfTrue="1">
      <formula>RiskIsInput</formula>
    </cfRule>
  </conditionalFormatting>
  <conditionalFormatting sqref="V8">
    <cfRule type="expression" dxfId="725" priority="21" stopIfTrue="1">
      <formula>RiskIsInput</formula>
    </cfRule>
  </conditionalFormatting>
  <conditionalFormatting sqref="W8">
    <cfRule type="expression" dxfId="724" priority="22" stopIfTrue="1">
      <formula>RiskIsInput</formula>
    </cfRule>
  </conditionalFormatting>
  <conditionalFormatting sqref="X8">
    <cfRule type="expression" dxfId="723" priority="23" stopIfTrue="1">
      <formula>RiskIsInput</formula>
    </cfRule>
  </conditionalFormatting>
  <conditionalFormatting sqref="Y8">
    <cfRule type="expression" dxfId="722" priority="24" stopIfTrue="1">
      <formula>RiskIsInput</formula>
    </cfRule>
  </conditionalFormatting>
  <conditionalFormatting sqref="Z8">
    <cfRule type="expression" dxfId="721" priority="25" stopIfTrue="1">
      <formula>RiskIsInput</formula>
    </cfRule>
  </conditionalFormatting>
  <conditionalFormatting sqref="AA8">
    <cfRule type="expression" dxfId="720" priority="26" stopIfTrue="1">
      <formula>RiskIsInput</formula>
    </cfRule>
  </conditionalFormatting>
  <conditionalFormatting sqref="AB8">
    <cfRule type="expression" dxfId="719" priority="27" stopIfTrue="1">
      <formula>RiskIsInput</formula>
    </cfRule>
  </conditionalFormatting>
  <conditionalFormatting sqref="AC8">
    <cfRule type="expression" dxfId="718" priority="28" stopIfTrue="1">
      <formula>RiskIsInput</formula>
    </cfRule>
  </conditionalFormatting>
  <conditionalFormatting sqref="AD8">
    <cfRule type="expression" dxfId="717" priority="29" stopIfTrue="1">
      <formula>RiskIsInput</formula>
    </cfRule>
  </conditionalFormatting>
  <conditionalFormatting sqref="AE8">
    <cfRule type="expression" dxfId="716" priority="30" stopIfTrue="1">
      <formula>RiskIsInput</formula>
    </cfRule>
  </conditionalFormatting>
  <conditionalFormatting sqref="AF8">
    <cfRule type="expression" dxfId="715" priority="31" stopIfTrue="1">
      <formula>RiskIsInput</formula>
    </cfRule>
  </conditionalFormatting>
  <conditionalFormatting sqref="B11">
    <cfRule type="expression" dxfId="714" priority="32" stopIfTrue="1">
      <formula>RiskIsOutput</formula>
    </cfRule>
  </conditionalFormatting>
  <conditionalFormatting sqref="C11">
    <cfRule type="expression" dxfId="713" priority="33" stopIfTrue="1">
      <formula>RiskIsOutput</formula>
    </cfRule>
  </conditionalFormatting>
  <conditionalFormatting sqref="D11">
    <cfRule type="expression" dxfId="712" priority="34" stopIfTrue="1">
      <formula>RiskIsOutput</formula>
    </cfRule>
  </conditionalFormatting>
  <conditionalFormatting sqref="E11">
    <cfRule type="expression" dxfId="711" priority="35" stopIfTrue="1">
      <formula>RiskIsOutput</formula>
    </cfRule>
  </conditionalFormatting>
  <conditionalFormatting sqref="F11">
    <cfRule type="expression" dxfId="710" priority="36" stopIfTrue="1">
      <formula>RiskIsOutput</formula>
    </cfRule>
  </conditionalFormatting>
  <conditionalFormatting sqref="G11">
    <cfRule type="expression" dxfId="709" priority="37" stopIfTrue="1">
      <formula>RiskIsOutput</formula>
    </cfRule>
  </conditionalFormatting>
  <conditionalFormatting sqref="H11">
    <cfRule type="expression" dxfId="708" priority="38" stopIfTrue="1">
      <formula>RiskIsOutput</formula>
    </cfRule>
  </conditionalFormatting>
  <conditionalFormatting sqref="I11">
    <cfRule type="expression" dxfId="707" priority="39" stopIfTrue="1">
      <formula>RiskIsOutput</formula>
    </cfRule>
  </conditionalFormatting>
  <conditionalFormatting sqref="J11">
    <cfRule type="expression" dxfId="706" priority="40" stopIfTrue="1">
      <formula>RiskIsOutput</formula>
    </cfRule>
  </conditionalFormatting>
  <conditionalFormatting sqref="K11">
    <cfRule type="expression" dxfId="705" priority="41" stopIfTrue="1">
      <formula>RiskIsOutput</formula>
    </cfRule>
  </conditionalFormatting>
  <conditionalFormatting sqref="L11">
    <cfRule type="expression" dxfId="704" priority="42" stopIfTrue="1">
      <formula>RiskIsOutput</formula>
    </cfRule>
  </conditionalFormatting>
  <conditionalFormatting sqref="M11">
    <cfRule type="expression" dxfId="703" priority="43" stopIfTrue="1">
      <formula>RiskIsOutput</formula>
    </cfRule>
  </conditionalFormatting>
  <conditionalFormatting sqref="N11">
    <cfRule type="expression" dxfId="702" priority="44" stopIfTrue="1">
      <formula>RiskIsOutput</formula>
    </cfRule>
  </conditionalFormatting>
  <conditionalFormatting sqref="O11">
    <cfRule type="expression" dxfId="701" priority="45" stopIfTrue="1">
      <formula>RiskIsOutput</formula>
    </cfRule>
  </conditionalFormatting>
  <conditionalFormatting sqref="P11">
    <cfRule type="expression" dxfId="700" priority="46" stopIfTrue="1">
      <formula>RiskIsOutput</formula>
    </cfRule>
  </conditionalFormatting>
  <conditionalFormatting sqref="Q11">
    <cfRule type="expression" dxfId="699" priority="47" stopIfTrue="1">
      <formula>RiskIsOutput</formula>
    </cfRule>
  </conditionalFormatting>
  <conditionalFormatting sqref="R11">
    <cfRule type="expression" dxfId="698" priority="48" stopIfTrue="1">
      <formula>RiskIsOutput</formula>
    </cfRule>
  </conditionalFormatting>
  <conditionalFormatting sqref="S11">
    <cfRule type="expression" dxfId="697" priority="49" stopIfTrue="1">
      <formula>RiskIsOutput</formula>
    </cfRule>
  </conditionalFormatting>
  <conditionalFormatting sqref="T11">
    <cfRule type="expression" dxfId="696" priority="50" stopIfTrue="1">
      <formula>RiskIsOutput</formula>
    </cfRule>
  </conditionalFormatting>
  <conditionalFormatting sqref="U11">
    <cfRule type="expression" dxfId="695" priority="51" stopIfTrue="1">
      <formula>RiskIsOutput</formula>
    </cfRule>
  </conditionalFormatting>
  <conditionalFormatting sqref="V11">
    <cfRule type="expression" dxfId="694" priority="52" stopIfTrue="1">
      <formula>RiskIsOutput</formula>
    </cfRule>
  </conditionalFormatting>
  <conditionalFormatting sqref="W11">
    <cfRule type="expression" dxfId="693" priority="53" stopIfTrue="1">
      <formula>RiskIsOutput</formula>
    </cfRule>
  </conditionalFormatting>
  <conditionalFormatting sqref="X11">
    <cfRule type="expression" dxfId="692" priority="54" stopIfTrue="1">
      <formula>RiskIsOutput</formula>
    </cfRule>
  </conditionalFormatting>
  <conditionalFormatting sqref="Y11">
    <cfRule type="expression" dxfId="691" priority="55" stopIfTrue="1">
      <formula>RiskIsOutput</formula>
    </cfRule>
  </conditionalFormatting>
  <conditionalFormatting sqref="Z11">
    <cfRule type="expression" dxfId="690" priority="56" stopIfTrue="1">
      <formula>RiskIsOutput</formula>
    </cfRule>
  </conditionalFormatting>
  <conditionalFormatting sqref="AA11">
    <cfRule type="expression" dxfId="689" priority="57" stopIfTrue="1">
      <formula>RiskIsOutput</formula>
    </cfRule>
  </conditionalFormatting>
  <conditionalFormatting sqref="AB11">
    <cfRule type="expression" dxfId="688" priority="58" stopIfTrue="1">
      <formula>RiskIsOutput</formula>
    </cfRule>
  </conditionalFormatting>
  <conditionalFormatting sqref="AC11">
    <cfRule type="expression" dxfId="687" priority="59" stopIfTrue="1">
      <formula>RiskIsOutput</formula>
    </cfRule>
  </conditionalFormatting>
  <conditionalFormatting sqref="AD11">
    <cfRule type="expression" dxfId="686" priority="60" stopIfTrue="1">
      <formula>RiskIsOutput</formula>
    </cfRule>
  </conditionalFormatting>
  <conditionalFormatting sqref="AE11">
    <cfRule type="expression" dxfId="685" priority="61" stopIfTrue="1">
      <formula>RiskIsOutput</formula>
    </cfRule>
  </conditionalFormatting>
  <conditionalFormatting sqref="AF11">
    <cfRule type="expression" dxfId="684" priority="62" stopIfTrue="1">
      <formula>RiskIsOutput</formula>
    </cfRule>
  </conditionalFormatting>
  <conditionalFormatting sqref="B15">
    <cfRule type="expression" dxfId="683" priority="63" stopIfTrue="1">
      <formula>RiskIsOutput</formula>
    </cfRule>
  </conditionalFormatting>
  <conditionalFormatting sqref="C15">
    <cfRule type="expression" dxfId="682" priority="64" stopIfTrue="1">
      <formula>RiskIsOutput</formula>
    </cfRule>
  </conditionalFormatting>
  <conditionalFormatting sqref="D15">
    <cfRule type="expression" dxfId="681" priority="65" stopIfTrue="1">
      <formula>RiskIsOutput</formula>
    </cfRule>
  </conditionalFormatting>
  <conditionalFormatting sqref="E15">
    <cfRule type="expression" dxfId="680" priority="66" stopIfTrue="1">
      <formula>RiskIsOutput</formula>
    </cfRule>
  </conditionalFormatting>
  <conditionalFormatting sqref="F15">
    <cfRule type="expression" dxfId="679" priority="67" stopIfTrue="1">
      <formula>RiskIsOutput</formula>
    </cfRule>
  </conditionalFormatting>
  <conditionalFormatting sqref="G15">
    <cfRule type="expression" dxfId="678" priority="68" stopIfTrue="1">
      <formula>RiskIsOutput</formula>
    </cfRule>
  </conditionalFormatting>
  <conditionalFormatting sqref="H15">
    <cfRule type="expression" dxfId="677" priority="69" stopIfTrue="1">
      <formula>RiskIsOutput</formula>
    </cfRule>
  </conditionalFormatting>
  <conditionalFormatting sqref="I15">
    <cfRule type="expression" dxfId="676" priority="70" stopIfTrue="1">
      <formula>RiskIsOutput</formula>
    </cfRule>
  </conditionalFormatting>
  <conditionalFormatting sqref="J15">
    <cfRule type="expression" dxfId="675" priority="71" stopIfTrue="1">
      <formula>RiskIsOutput</formula>
    </cfRule>
  </conditionalFormatting>
  <conditionalFormatting sqref="K15">
    <cfRule type="expression" dxfId="674" priority="72" stopIfTrue="1">
      <formula>RiskIsOutput</formula>
    </cfRule>
  </conditionalFormatting>
  <conditionalFormatting sqref="L15">
    <cfRule type="expression" dxfId="673" priority="73" stopIfTrue="1">
      <formula>RiskIsOutput</formula>
    </cfRule>
  </conditionalFormatting>
  <conditionalFormatting sqref="M15">
    <cfRule type="expression" dxfId="672" priority="74" stopIfTrue="1">
      <formula>RiskIsOutput</formula>
    </cfRule>
  </conditionalFormatting>
  <conditionalFormatting sqref="N15">
    <cfRule type="expression" dxfId="671" priority="75" stopIfTrue="1">
      <formula>RiskIsOutput</formula>
    </cfRule>
  </conditionalFormatting>
  <conditionalFormatting sqref="O15">
    <cfRule type="expression" dxfId="670" priority="76" stopIfTrue="1">
      <formula>RiskIsOutput</formula>
    </cfRule>
  </conditionalFormatting>
  <conditionalFormatting sqref="P15">
    <cfRule type="expression" dxfId="669" priority="77" stopIfTrue="1">
      <formula>RiskIsOutput</formula>
    </cfRule>
  </conditionalFormatting>
  <conditionalFormatting sqref="Q15">
    <cfRule type="expression" dxfId="668" priority="78" stopIfTrue="1">
      <formula>RiskIsOutput</formula>
    </cfRule>
  </conditionalFormatting>
  <conditionalFormatting sqref="R15">
    <cfRule type="expression" dxfId="667" priority="79" stopIfTrue="1">
      <formula>RiskIsOutput</formula>
    </cfRule>
  </conditionalFormatting>
  <conditionalFormatting sqref="S15">
    <cfRule type="expression" dxfId="666" priority="80" stopIfTrue="1">
      <formula>RiskIsOutput</formula>
    </cfRule>
  </conditionalFormatting>
  <conditionalFormatting sqref="T15">
    <cfRule type="expression" dxfId="665" priority="81" stopIfTrue="1">
      <formula>RiskIsOutput</formula>
    </cfRule>
  </conditionalFormatting>
  <conditionalFormatting sqref="U15">
    <cfRule type="expression" dxfId="664" priority="82" stopIfTrue="1">
      <formula>RiskIsOutput</formula>
    </cfRule>
  </conditionalFormatting>
  <conditionalFormatting sqref="V15">
    <cfRule type="expression" dxfId="663" priority="83" stopIfTrue="1">
      <formula>RiskIsOutput</formula>
    </cfRule>
  </conditionalFormatting>
  <conditionalFormatting sqref="W15">
    <cfRule type="expression" dxfId="662" priority="84" stopIfTrue="1">
      <formula>RiskIsOutput</formula>
    </cfRule>
  </conditionalFormatting>
  <conditionalFormatting sqref="X15">
    <cfRule type="expression" dxfId="661" priority="85" stopIfTrue="1">
      <formula>RiskIsOutput</formula>
    </cfRule>
  </conditionalFormatting>
  <conditionalFormatting sqref="Y15">
    <cfRule type="expression" dxfId="660" priority="86" stopIfTrue="1">
      <formula>RiskIsOutput</formula>
    </cfRule>
  </conditionalFormatting>
  <conditionalFormatting sqref="Z15">
    <cfRule type="expression" dxfId="659" priority="87" stopIfTrue="1">
      <formula>RiskIsOutput</formula>
    </cfRule>
  </conditionalFormatting>
  <conditionalFormatting sqref="AA15">
    <cfRule type="expression" dxfId="658" priority="88" stopIfTrue="1">
      <formula>RiskIsOutput</formula>
    </cfRule>
  </conditionalFormatting>
  <conditionalFormatting sqref="AB15">
    <cfRule type="expression" dxfId="657" priority="89" stopIfTrue="1">
      <formula>RiskIsOutput</formula>
    </cfRule>
  </conditionalFormatting>
  <conditionalFormatting sqref="AC15">
    <cfRule type="expression" dxfId="656" priority="90" stopIfTrue="1">
      <formula>RiskIsOutput</formula>
    </cfRule>
  </conditionalFormatting>
  <conditionalFormatting sqref="AD15">
    <cfRule type="expression" dxfId="655" priority="91" stopIfTrue="1">
      <formula>RiskIsOutput</formula>
    </cfRule>
  </conditionalFormatting>
  <conditionalFormatting sqref="AE15">
    <cfRule type="expression" dxfId="654" priority="92" stopIfTrue="1">
      <formula>RiskIsOutput</formula>
    </cfRule>
  </conditionalFormatting>
  <conditionalFormatting sqref="AF15">
    <cfRule type="expression" dxfId="653" priority="93" stopIfTrue="1">
      <formula>RiskIsOutput</formula>
    </cfRule>
  </conditionalFormatting>
  <conditionalFormatting sqref="B16">
    <cfRule type="expression" dxfId="652" priority="94" stopIfTrue="1">
      <formula>RiskIsOutput</formula>
    </cfRule>
  </conditionalFormatting>
  <conditionalFormatting sqref="C16">
    <cfRule type="expression" dxfId="651" priority="95" stopIfTrue="1">
      <formula>RiskIsOutput</formula>
    </cfRule>
  </conditionalFormatting>
  <conditionalFormatting sqref="D16">
    <cfRule type="expression" dxfId="650" priority="96" stopIfTrue="1">
      <formula>RiskIsOutput</formula>
    </cfRule>
  </conditionalFormatting>
  <conditionalFormatting sqref="E16">
    <cfRule type="expression" dxfId="649" priority="97" stopIfTrue="1">
      <formula>RiskIsOutput</formula>
    </cfRule>
  </conditionalFormatting>
  <conditionalFormatting sqref="F16">
    <cfRule type="expression" dxfId="648" priority="98" stopIfTrue="1">
      <formula>RiskIsOutput</formula>
    </cfRule>
  </conditionalFormatting>
  <conditionalFormatting sqref="G16">
    <cfRule type="expression" dxfId="647" priority="99" stopIfTrue="1">
      <formula>RiskIsOutput</formula>
    </cfRule>
  </conditionalFormatting>
  <conditionalFormatting sqref="H16">
    <cfRule type="expression" dxfId="646" priority="100" stopIfTrue="1">
      <formula>RiskIsOutput</formula>
    </cfRule>
  </conditionalFormatting>
  <conditionalFormatting sqref="I16">
    <cfRule type="expression" dxfId="645" priority="101" stopIfTrue="1">
      <formula>RiskIsOutput</formula>
    </cfRule>
  </conditionalFormatting>
  <conditionalFormatting sqref="J16">
    <cfRule type="expression" dxfId="644" priority="102" stopIfTrue="1">
      <formula>RiskIsOutput</formula>
    </cfRule>
  </conditionalFormatting>
  <conditionalFormatting sqref="K16">
    <cfRule type="expression" dxfId="643" priority="103" stopIfTrue="1">
      <formula>RiskIsOutput</formula>
    </cfRule>
  </conditionalFormatting>
  <conditionalFormatting sqref="L16">
    <cfRule type="expression" dxfId="642" priority="104" stopIfTrue="1">
      <formula>RiskIsOutput</formula>
    </cfRule>
  </conditionalFormatting>
  <conditionalFormatting sqref="M16">
    <cfRule type="expression" dxfId="641" priority="105" stopIfTrue="1">
      <formula>RiskIsOutput</formula>
    </cfRule>
  </conditionalFormatting>
  <conditionalFormatting sqref="N16">
    <cfRule type="expression" dxfId="640" priority="106" stopIfTrue="1">
      <formula>RiskIsOutput</formula>
    </cfRule>
  </conditionalFormatting>
  <conditionalFormatting sqref="O16">
    <cfRule type="expression" dxfId="639" priority="107" stopIfTrue="1">
      <formula>RiskIsOutput</formula>
    </cfRule>
  </conditionalFormatting>
  <conditionalFormatting sqref="P16">
    <cfRule type="expression" dxfId="638" priority="108" stopIfTrue="1">
      <formula>RiskIsOutput</formula>
    </cfRule>
  </conditionalFormatting>
  <conditionalFormatting sqref="Q16">
    <cfRule type="expression" dxfId="637" priority="109" stopIfTrue="1">
      <formula>RiskIsOutput</formula>
    </cfRule>
  </conditionalFormatting>
  <conditionalFormatting sqref="R16">
    <cfRule type="expression" dxfId="636" priority="110" stopIfTrue="1">
      <formula>RiskIsOutput</formula>
    </cfRule>
  </conditionalFormatting>
  <conditionalFormatting sqref="S16">
    <cfRule type="expression" dxfId="635" priority="111" stopIfTrue="1">
      <formula>RiskIsOutput</formula>
    </cfRule>
  </conditionalFormatting>
  <conditionalFormatting sqref="T16">
    <cfRule type="expression" dxfId="634" priority="112" stopIfTrue="1">
      <formula>RiskIsOutput</formula>
    </cfRule>
  </conditionalFormatting>
  <conditionalFormatting sqref="U16">
    <cfRule type="expression" dxfId="633" priority="113" stopIfTrue="1">
      <formula>RiskIsOutput</formula>
    </cfRule>
  </conditionalFormatting>
  <conditionalFormatting sqref="V16">
    <cfRule type="expression" dxfId="632" priority="114" stopIfTrue="1">
      <formula>RiskIsOutput</formula>
    </cfRule>
  </conditionalFormatting>
  <conditionalFormatting sqref="W16">
    <cfRule type="expression" dxfId="631" priority="115" stopIfTrue="1">
      <formula>RiskIsOutput</formula>
    </cfRule>
  </conditionalFormatting>
  <conditionalFormatting sqref="X16">
    <cfRule type="expression" dxfId="630" priority="116" stopIfTrue="1">
      <formula>RiskIsOutput</formula>
    </cfRule>
  </conditionalFormatting>
  <conditionalFormatting sqref="Y16">
    <cfRule type="expression" dxfId="629" priority="117" stopIfTrue="1">
      <formula>RiskIsOutput</formula>
    </cfRule>
  </conditionalFormatting>
  <conditionalFormatting sqref="Z16">
    <cfRule type="expression" dxfId="628" priority="118" stopIfTrue="1">
      <formula>RiskIsOutput</formula>
    </cfRule>
  </conditionalFormatting>
  <conditionalFormatting sqref="AA16">
    <cfRule type="expression" dxfId="627" priority="119" stopIfTrue="1">
      <formula>RiskIsOutput</formula>
    </cfRule>
  </conditionalFormatting>
  <conditionalFormatting sqref="AB16">
    <cfRule type="expression" dxfId="626" priority="120" stopIfTrue="1">
      <formula>RiskIsOutput</formula>
    </cfRule>
  </conditionalFormatting>
  <conditionalFormatting sqref="AC16">
    <cfRule type="expression" dxfId="625" priority="121" stopIfTrue="1">
      <formula>RiskIsOutput</formula>
    </cfRule>
  </conditionalFormatting>
  <conditionalFormatting sqref="AD16">
    <cfRule type="expression" dxfId="624" priority="122" stopIfTrue="1">
      <formula>RiskIsOutput</formula>
    </cfRule>
  </conditionalFormatting>
  <conditionalFormatting sqref="AE16">
    <cfRule type="expression" dxfId="623" priority="123" stopIfTrue="1">
      <formula>RiskIsOutput</formula>
    </cfRule>
  </conditionalFormatting>
  <conditionalFormatting sqref="AF16">
    <cfRule type="expression" dxfId="622" priority="124" stopIfTrue="1">
      <formula>RiskIsOutput</formula>
    </cfRule>
  </conditionalFormatting>
  <conditionalFormatting sqref="B20">
    <cfRule type="expression" dxfId="621" priority="125" stopIfTrue="1">
      <formula>RiskIsOutput</formula>
    </cfRule>
  </conditionalFormatting>
  <conditionalFormatting sqref="C20">
    <cfRule type="expression" dxfId="620" priority="126" stopIfTrue="1">
      <formula>RiskIsOutput</formula>
    </cfRule>
  </conditionalFormatting>
  <conditionalFormatting sqref="D20">
    <cfRule type="expression" dxfId="619" priority="127" stopIfTrue="1">
      <formula>RiskIsOutput</formula>
    </cfRule>
  </conditionalFormatting>
  <conditionalFormatting sqref="E20">
    <cfRule type="expression" dxfId="618" priority="128" stopIfTrue="1">
      <formula>RiskIsOutput</formula>
    </cfRule>
  </conditionalFormatting>
  <conditionalFormatting sqref="F20">
    <cfRule type="expression" dxfId="617" priority="129" stopIfTrue="1">
      <formula>RiskIsOutput</formula>
    </cfRule>
  </conditionalFormatting>
  <conditionalFormatting sqref="G20">
    <cfRule type="expression" dxfId="616" priority="130" stopIfTrue="1">
      <formula>RiskIsOutput</formula>
    </cfRule>
  </conditionalFormatting>
  <conditionalFormatting sqref="H20">
    <cfRule type="expression" dxfId="615" priority="131" stopIfTrue="1">
      <formula>RiskIsOutput</formula>
    </cfRule>
  </conditionalFormatting>
  <conditionalFormatting sqref="I20">
    <cfRule type="expression" dxfId="614" priority="132" stopIfTrue="1">
      <formula>RiskIsOutput</formula>
    </cfRule>
  </conditionalFormatting>
  <conditionalFormatting sqref="J20">
    <cfRule type="expression" dxfId="613" priority="133" stopIfTrue="1">
      <formula>RiskIsOutput</formula>
    </cfRule>
  </conditionalFormatting>
  <conditionalFormatting sqref="K20">
    <cfRule type="expression" dxfId="612" priority="134" stopIfTrue="1">
      <formula>RiskIsOutput</formula>
    </cfRule>
  </conditionalFormatting>
  <conditionalFormatting sqref="L20">
    <cfRule type="expression" dxfId="611" priority="135" stopIfTrue="1">
      <formula>RiskIsOutput</formula>
    </cfRule>
  </conditionalFormatting>
  <conditionalFormatting sqref="M20">
    <cfRule type="expression" dxfId="610" priority="136" stopIfTrue="1">
      <formula>RiskIsOutput</formula>
    </cfRule>
  </conditionalFormatting>
  <conditionalFormatting sqref="N20">
    <cfRule type="expression" dxfId="609" priority="137" stopIfTrue="1">
      <formula>RiskIsOutput</formula>
    </cfRule>
  </conditionalFormatting>
  <conditionalFormatting sqref="O20">
    <cfRule type="expression" dxfId="608" priority="138" stopIfTrue="1">
      <formula>RiskIsOutput</formula>
    </cfRule>
  </conditionalFormatting>
  <conditionalFormatting sqref="P20">
    <cfRule type="expression" dxfId="607" priority="139" stopIfTrue="1">
      <formula>RiskIsOutput</formula>
    </cfRule>
  </conditionalFormatting>
  <conditionalFormatting sqref="Q20">
    <cfRule type="expression" dxfId="606" priority="140" stopIfTrue="1">
      <formula>RiskIsOutput</formula>
    </cfRule>
  </conditionalFormatting>
  <conditionalFormatting sqref="R20">
    <cfRule type="expression" dxfId="605" priority="141" stopIfTrue="1">
      <formula>RiskIsOutput</formula>
    </cfRule>
  </conditionalFormatting>
  <conditionalFormatting sqref="S20">
    <cfRule type="expression" dxfId="604" priority="142" stopIfTrue="1">
      <formula>RiskIsOutput</formula>
    </cfRule>
  </conditionalFormatting>
  <conditionalFormatting sqref="T20">
    <cfRule type="expression" dxfId="603" priority="143" stopIfTrue="1">
      <formula>RiskIsOutput</formula>
    </cfRule>
  </conditionalFormatting>
  <conditionalFormatting sqref="U20">
    <cfRule type="expression" dxfId="602" priority="144" stopIfTrue="1">
      <formula>RiskIsOutput</formula>
    </cfRule>
  </conditionalFormatting>
  <conditionalFormatting sqref="V20">
    <cfRule type="expression" dxfId="601" priority="145" stopIfTrue="1">
      <formula>RiskIsOutput</formula>
    </cfRule>
  </conditionalFormatting>
  <conditionalFormatting sqref="W20">
    <cfRule type="expression" dxfId="600" priority="146" stopIfTrue="1">
      <formula>RiskIsOutput</formula>
    </cfRule>
  </conditionalFormatting>
  <conditionalFormatting sqref="X20">
    <cfRule type="expression" dxfId="599" priority="147" stopIfTrue="1">
      <formula>RiskIsOutput</formula>
    </cfRule>
  </conditionalFormatting>
  <conditionalFormatting sqref="Y20">
    <cfRule type="expression" dxfId="598" priority="148" stopIfTrue="1">
      <formula>RiskIsOutput</formula>
    </cfRule>
  </conditionalFormatting>
  <conditionalFormatting sqref="Z20">
    <cfRule type="expression" dxfId="597" priority="149" stopIfTrue="1">
      <formula>RiskIsOutput</formula>
    </cfRule>
  </conditionalFormatting>
  <conditionalFormatting sqref="AA20">
    <cfRule type="expression" dxfId="596" priority="150" stopIfTrue="1">
      <formula>RiskIsOutput</formula>
    </cfRule>
  </conditionalFormatting>
  <conditionalFormatting sqref="AB20">
    <cfRule type="expression" dxfId="595" priority="151" stopIfTrue="1">
      <formula>RiskIsOutput</formula>
    </cfRule>
  </conditionalFormatting>
  <conditionalFormatting sqref="AC20">
    <cfRule type="expression" dxfId="594" priority="152" stopIfTrue="1">
      <formula>RiskIsOutput</formula>
    </cfRule>
  </conditionalFormatting>
  <conditionalFormatting sqref="AD20">
    <cfRule type="expression" dxfId="593" priority="153" stopIfTrue="1">
      <formula>RiskIsOutput</formula>
    </cfRule>
  </conditionalFormatting>
  <conditionalFormatting sqref="AE20">
    <cfRule type="expression" dxfId="592" priority="154" stopIfTrue="1">
      <formula>RiskIsOutput</formula>
    </cfRule>
  </conditionalFormatting>
  <conditionalFormatting sqref="AF20">
    <cfRule type="expression" dxfId="591" priority="155" stopIfTrue="1">
      <formula>RiskIsOutput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5"/>
  <sheetViews>
    <sheetView workbookViewId="0"/>
  </sheetViews>
  <sheetFormatPr defaultRowHeight="15" x14ac:dyDescent="0.25"/>
  <cols>
    <col min="1" max="26" width="18.7109375" customWidth="1"/>
  </cols>
  <sheetData>
    <row r="1" spans="1:85" x14ac:dyDescent="0.25">
      <c r="A1" t="s">
        <v>165</v>
      </c>
      <c r="B1" t="s">
        <v>172</v>
      </c>
      <c r="C1" t="s">
        <v>169</v>
      </c>
      <c r="D1" t="s">
        <v>170</v>
      </c>
      <c r="E1" t="s">
        <v>167</v>
      </c>
      <c r="F1" t="s">
        <v>168</v>
      </c>
      <c r="G1" t="s">
        <v>184</v>
      </c>
      <c r="H1" t="s">
        <v>175</v>
      </c>
      <c r="I1" t="s">
        <v>176</v>
      </c>
      <c r="J1" t="s">
        <v>177</v>
      </c>
      <c r="K1" t="s">
        <v>178</v>
      </c>
      <c r="L1" t="s">
        <v>173</v>
      </c>
      <c r="M1" t="s">
        <v>179</v>
      </c>
      <c r="N1" t="s">
        <v>181</v>
      </c>
      <c r="O1" t="s">
        <v>185</v>
      </c>
      <c r="P1" t="s">
        <v>187</v>
      </c>
      <c r="Q1" t="s">
        <v>186</v>
      </c>
      <c r="R1" t="s">
        <v>166</v>
      </c>
      <c r="S1" t="s">
        <v>171</v>
      </c>
      <c r="Y1" t="s">
        <v>180</v>
      </c>
      <c r="Z1" t="s">
        <v>182</v>
      </c>
      <c r="AA1" t="s">
        <v>174</v>
      </c>
      <c r="AB1" t="s">
        <v>183</v>
      </c>
    </row>
    <row r="2" spans="1:85" x14ac:dyDescent="0.25">
      <c r="E2" s="1">
        <f>Sheet2!$D$5</f>
        <v>608234.78805349965</v>
      </c>
      <c r="S2">
        <v>1</v>
      </c>
    </row>
    <row r="3" spans="1:85" x14ac:dyDescent="0.25">
      <c r="A3" t="s">
        <v>163</v>
      </c>
      <c r="B3">
        <v>2</v>
      </c>
      <c r="C3" t="s">
        <v>164</v>
      </c>
    </row>
    <row r="4" spans="1:85" x14ac:dyDescent="0.25">
      <c r="A4" t="s">
        <v>165</v>
      </c>
      <c r="B4" t="s">
        <v>172</v>
      </c>
      <c r="C4" t="s">
        <v>169</v>
      </c>
      <c r="D4" t="s">
        <v>170</v>
      </c>
      <c r="E4" t="s">
        <v>167</v>
      </c>
      <c r="F4" t="s">
        <v>168</v>
      </c>
      <c r="G4" t="s">
        <v>184</v>
      </c>
      <c r="H4" t="s">
        <v>175</v>
      </c>
      <c r="I4" t="s">
        <v>176</v>
      </c>
      <c r="J4" t="s">
        <v>177</v>
      </c>
      <c r="K4" t="s">
        <v>178</v>
      </c>
      <c r="L4" t="s">
        <v>173</v>
      </c>
      <c r="M4" t="s">
        <v>179</v>
      </c>
      <c r="N4" t="s">
        <v>181</v>
      </c>
      <c r="O4" t="s">
        <v>185</v>
      </c>
      <c r="P4" t="s">
        <v>187</v>
      </c>
      <c r="Q4" t="s">
        <v>186</v>
      </c>
      <c r="R4" t="s">
        <v>166</v>
      </c>
      <c r="S4" t="s">
        <v>171</v>
      </c>
      <c r="Y4" t="s">
        <v>180</v>
      </c>
      <c r="Z4" t="s">
        <v>182</v>
      </c>
      <c r="AA4" t="s">
        <v>174</v>
      </c>
      <c r="AB4" t="s">
        <v>183</v>
      </c>
    </row>
    <row r="5" spans="1:85" x14ac:dyDescent="0.25">
      <c r="A5">
        <v>1</v>
      </c>
      <c r="B5" t="b">
        <v>1</v>
      </c>
      <c r="C5">
        <v>0</v>
      </c>
      <c r="D5" t="s">
        <v>253</v>
      </c>
      <c r="E5">
        <f>Sheet2!$D$3</f>
        <v>110.5</v>
      </c>
      <c r="F5" t="s">
        <v>259</v>
      </c>
      <c r="G5" t="s">
        <v>194</v>
      </c>
      <c r="H5" s="20" t="s">
        <v>191</v>
      </c>
      <c r="I5" s="20" t="s">
        <v>192</v>
      </c>
      <c r="J5" s="20" t="s">
        <v>193</v>
      </c>
      <c r="K5" s="20" t="s">
        <v>193</v>
      </c>
      <c r="L5" s="20" t="s">
        <v>261</v>
      </c>
      <c r="M5">
        <v>4</v>
      </c>
      <c r="N5" t="b">
        <v>1</v>
      </c>
      <c r="O5" t="b">
        <v>0</v>
      </c>
      <c r="P5">
        <v>1</v>
      </c>
      <c r="Q5">
        <v>0</v>
      </c>
      <c r="R5">
        <v>1</v>
      </c>
      <c r="S5">
        <v>0</v>
      </c>
      <c r="T5" t="s">
        <v>260</v>
      </c>
      <c r="U5" s="20" t="s">
        <v>261</v>
      </c>
      <c r="V5">
        <v>110.5</v>
      </c>
      <c r="W5">
        <v>0</v>
      </c>
      <c r="X5">
        <v>0</v>
      </c>
      <c r="Y5">
        <v>0</v>
      </c>
      <c r="Z5">
        <v>1</v>
      </c>
      <c r="AA5" t="b">
        <v>1</v>
      </c>
      <c r="AC5" s="20" t="s">
        <v>195</v>
      </c>
      <c r="AD5" s="20" t="s">
        <v>197</v>
      </c>
      <c r="AE5" s="20" t="s">
        <v>199</v>
      </c>
      <c r="AF5" s="20" t="s">
        <v>201</v>
      </c>
      <c r="AG5" s="20" t="s">
        <v>245</v>
      </c>
      <c r="AH5" s="20" t="s">
        <v>201</v>
      </c>
      <c r="AI5" s="20" t="s">
        <v>201</v>
      </c>
      <c r="BB5" s="20" t="s">
        <v>262</v>
      </c>
      <c r="BC5" s="20" t="s">
        <v>268</v>
      </c>
      <c r="BD5" s="20" t="s">
        <v>269</v>
      </c>
      <c r="BE5" s="20" t="s">
        <v>263</v>
      </c>
      <c r="BF5" s="20" t="s">
        <v>246</v>
      </c>
      <c r="BG5" s="20" t="s">
        <v>208</v>
      </c>
      <c r="BH5" s="20" t="s">
        <v>208</v>
      </c>
      <c r="CA5" t="s">
        <v>209</v>
      </c>
      <c r="CB5" t="s">
        <v>211</v>
      </c>
      <c r="CC5" t="s">
        <v>213</v>
      </c>
      <c r="CD5" t="s">
        <v>215</v>
      </c>
      <c r="CE5" t="s">
        <v>247</v>
      </c>
      <c r="CF5" t="s">
        <v>215</v>
      </c>
      <c r="CG5" t="s">
        <v>215</v>
      </c>
    </row>
    <row r="6" spans="1:85" x14ac:dyDescent="0.25">
      <c r="A6">
        <v>2</v>
      </c>
      <c r="B6" t="b">
        <v>1</v>
      </c>
      <c r="C6">
        <v>0</v>
      </c>
      <c r="D6" t="s">
        <v>253</v>
      </c>
      <c r="E6">
        <f>Sheet2!$D$4</f>
        <v>4.3899999999999997</v>
      </c>
      <c r="F6" t="s">
        <v>264</v>
      </c>
      <c r="G6" t="s">
        <v>194</v>
      </c>
      <c r="H6" s="20" t="s">
        <v>255</v>
      </c>
      <c r="I6" s="20" t="s">
        <v>256</v>
      </c>
      <c r="J6" s="20" t="s">
        <v>193</v>
      </c>
      <c r="K6" s="20" t="s">
        <v>193</v>
      </c>
      <c r="L6" s="20" t="s">
        <v>254</v>
      </c>
      <c r="M6">
        <v>4</v>
      </c>
      <c r="N6" t="b">
        <v>1</v>
      </c>
      <c r="O6" t="b">
        <v>0</v>
      </c>
      <c r="P6">
        <v>1</v>
      </c>
      <c r="Q6">
        <v>0</v>
      </c>
      <c r="R6">
        <v>1</v>
      </c>
      <c r="S6">
        <v>0</v>
      </c>
      <c r="T6" t="s">
        <v>265</v>
      </c>
      <c r="U6" s="20" t="s">
        <v>254</v>
      </c>
      <c r="V6">
        <v>4.3899999999999997</v>
      </c>
      <c r="W6">
        <v>0</v>
      </c>
      <c r="X6">
        <v>0</v>
      </c>
      <c r="Y6">
        <v>0</v>
      </c>
      <c r="Z6">
        <v>1</v>
      </c>
      <c r="AA6" t="b">
        <v>1</v>
      </c>
      <c r="AC6" s="20" t="s">
        <v>195</v>
      </c>
      <c r="AD6" s="20" t="s">
        <v>197</v>
      </c>
      <c r="AE6" s="20" t="s">
        <v>199</v>
      </c>
      <c r="AF6" s="20" t="s">
        <v>201</v>
      </c>
      <c r="AG6" s="20" t="s">
        <v>199</v>
      </c>
      <c r="AH6" s="20" t="s">
        <v>200</v>
      </c>
      <c r="AI6" s="20" t="s">
        <v>201</v>
      </c>
      <c r="BB6" s="20" t="s">
        <v>257</v>
      </c>
      <c r="BC6" s="20" t="s">
        <v>266</v>
      </c>
      <c r="BD6" s="20" t="s">
        <v>267</v>
      </c>
      <c r="BE6" s="20" t="s">
        <v>258</v>
      </c>
      <c r="BF6" s="20" t="s">
        <v>206</v>
      </c>
      <c r="BG6" s="20" t="s">
        <v>207</v>
      </c>
      <c r="BH6" s="20" t="s">
        <v>208</v>
      </c>
      <c r="CA6" t="s">
        <v>209</v>
      </c>
      <c r="CB6" t="s">
        <v>211</v>
      </c>
      <c r="CC6" t="s">
        <v>213</v>
      </c>
      <c r="CD6" t="s">
        <v>215</v>
      </c>
      <c r="CE6" t="s">
        <v>213</v>
      </c>
      <c r="CF6" t="s">
        <v>214</v>
      </c>
      <c r="CG6" t="s">
        <v>215</v>
      </c>
    </row>
    <row r="7" spans="1:85" x14ac:dyDescent="0.25">
      <c r="A7">
        <v>3</v>
      </c>
      <c r="B7" t="b">
        <v>1</v>
      </c>
      <c r="C7">
        <v>0</v>
      </c>
      <c r="D7" t="s">
        <v>189</v>
      </c>
      <c r="E7">
        <f>'SW CC grad'!$D$4</f>
        <v>93.6</v>
      </c>
      <c r="F7" t="s">
        <v>188</v>
      </c>
      <c r="G7" t="s">
        <v>194</v>
      </c>
      <c r="H7" s="20" t="s">
        <v>191</v>
      </c>
      <c r="I7" s="20" t="s">
        <v>192</v>
      </c>
      <c r="J7" s="20" t="s">
        <v>193</v>
      </c>
      <c r="K7" s="20" t="s">
        <v>193</v>
      </c>
      <c r="L7" s="20" t="s">
        <v>190</v>
      </c>
      <c r="M7">
        <v>7</v>
      </c>
      <c r="N7" t="b">
        <v>1</v>
      </c>
      <c r="O7" t="b">
        <v>0</v>
      </c>
      <c r="P7">
        <v>31</v>
      </c>
      <c r="Q7">
        <v>2</v>
      </c>
      <c r="R7">
        <v>1</v>
      </c>
      <c r="S7">
        <v>0</v>
      </c>
      <c r="T7" t="s">
        <v>216</v>
      </c>
      <c r="U7" s="20" t="s">
        <v>190</v>
      </c>
      <c r="W7">
        <v>0</v>
      </c>
      <c r="X7">
        <v>0</v>
      </c>
      <c r="Y7">
        <v>0</v>
      </c>
      <c r="Z7">
        <v>1</v>
      </c>
      <c r="AA7" t="b">
        <v>1</v>
      </c>
      <c r="AC7" s="20" t="s">
        <v>195</v>
      </c>
      <c r="AD7" s="20" t="s">
        <v>196</v>
      </c>
      <c r="AE7" s="20" t="s">
        <v>197</v>
      </c>
      <c r="AF7" s="20" t="s">
        <v>198</v>
      </c>
      <c r="AG7" s="20" t="s">
        <v>199</v>
      </c>
      <c r="AH7" s="20" t="s">
        <v>200</v>
      </c>
      <c r="AI7" s="20" t="s">
        <v>201</v>
      </c>
      <c r="BB7" s="20" t="s">
        <v>202</v>
      </c>
      <c r="BC7" s="20" t="s">
        <v>203</v>
      </c>
      <c r="BD7" s="20" t="s">
        <v>204</v>
      </c>
      <c r="BE7" s="20" t="s">
        <v>205</v>
      </c>
      <c r="BF7" s="20" t="s">
        <v>206</v>
      </c>
      <c r="BG7" s="20" t="s">
        <v>207</v>
      </c>
      <c r="BH7" s="20" t="s">
        <v>208</v>
      </c>
      <c r="CA7" t="s">
        <v>209</v>
      </c>
      <c r="CB7" t="s">
        <v>210</v>
      </c>
      <c r="CC7" t="s">
        <v>211</v>
      </c>
      <c r="CD7" t="s">
        <v>212</v>
      </c>
      <c r="CE7" t="s">
        <v>213</v>
      </c>
      <c r="CF7" t="s">
        <v>214</v>
      </c>
      <c r="CG7" t="s">
        <v>215</v>
      </c>
    </row>
    <row r="8" spans="1:85" x14ac:dyDescent="0.25">
      <c r="A8">
        <v>4</v>
      </c>
      <c r="B8" t="b">
        <v>1</v>
      </c>
      <c r="C8">
        <v>0</v>
      </c>
      <c r="D8" t="s">
        <v>189</v>
      </c>
      <c r="E8">
        <f>'SW CC grad'!$E$4</f>
        <v>93.6</v>
      </c>
      <c r="F8" t="s">
        <v>188</v>
      </c>
      <c r="G8" t="s">
        <v>194</v>
      </c>
      <c r="H8" s="20" t="s">
        <v>191</v>
      </c>
      <c r="I8" s="20" t="s">
        <v>192</v>
      </c>
      <c r="J8" s="20" t="s">
        <v>193</v>
      </c>
      <c r="K8" s="20" t="s">
        <v>193</v>
      </c>
      <c r="L8" s="20" t="s">
        <v>190</v>
      </c>
      <c r="M8">
        <v>7</v>
      </c>
      <c r="N8" t="b">
        <v>1</v>
      </c>
      <c r="O8" t="b">
        <v>0</v>
      </c>
      <c r="P8">
        <v>31</v>
      </c>
      <c r="Q8">
        <v>3</v>
      </c>
      <c r="R8">
        <v>1</v>
      </c>
      <c r="S8">
        <v>0</v>
      </c>
      <c r="T8" t="s">
        <v>217</v>
      </c>
      <c r="U8" s="20" t="s">
        <v>190</v>
      </c>
      <c r="W8">
        <v>0</v>
      </c>
      <c r="X8">
        <v>0</v>
      </c>
      <c r="Y8">
        <v>0</v>
      </c>
      <c r="Z8">
        <v>1</v>
      </c>
      <c r="AA8" t="b">
        <v>1</v>
      </c>
      <c r="AC8" s="20" t="s">
        <v>195</v>
      </c>
      <c r="AD8" s="20" t="s">
        <v>196</v>
      </c>
      <c r="AE8" s="20" t="s">
        <v>197</v>
      </c>
      <c r="AF8" s="20" t="s">
        <v>198</v>
      </c>
      <c r="AG8" s="20" t="s">
        <v>199</v>
      </c>
      <c r="AH8" s="20" t="s">
        <v>200</v>
      </c>
      <c r="AI8" s="20" t="s">
        <v>201</v>
      </c>
      <c r="BB8" s="20" t="s">
        <v>202</v>
      </c>
      <c r="BC8" s="20" t="s">
        <v>203</v>
      </c>
      <c r="BD8" s="20" t="s">
        <v>204</v>
      </c>
      <c r="BE8" s="20" t="s">
        <v>205</v>
      </c>
      <c r="BF8" s="20" t="s">
        <v>206</v>
      </c>
      <c r="BG8" s="20" t="s">
        <v>207</v>
      </c>
      <c r="BH8" s="20" t="s">
        <v>208</v>
      </c>
      <c r="CA8" t="s">
        <v>209</v>
      </c>
      <c r="CB8" t="s">
        <v>210</v>
      </c>
      <c r="CC8" t="s">
        <v>211</v>
      </c>
      <c r="CD8" t="s">
        <v>212</v>
      </c>
      <c r="CE8" t="s">
        <v>213</v>
      </c>
      <c r="CF8" t="s">
        <v>214</v>
      </c>
      <c r="CG8" t="s">
        <v>215</v>
      </c>
    </row>
    <row r="9" spans="1:85" x14ac:dyDescent="0.25">
      <c r="A9">
        <v>5</v>
      </c>
      <c r="B9" t="b">
        <v>1</v>
      </c>
      <c r="C9">
        <v>0</v>
      </c>
      <c r="D9" t="s">
        <v>189</v>
      </c>
      <c r="E9">
        <f>'SW CC grad'!$F$4</f>
        <v>93.6</v>
      </c>
      <c r="F9" t="s">
        <v>188</v>
      </c>
      <c r="G9" t="s">
        <v>194</v>
      </c>
      <c r="H9" s="20" t="s">
        <v>191</v>
      </c>
      <c r="I9" s="20" t="s">
        <v>192</v>
      </c>
      <c r="J9" s="20" t="s">
        <v>193</v>
      </c>
      <c r="K9" s="20" t="s">
        <v>193</v>
      </c>
      <c r="L9" s="20" t="s">
        <v>190</v>
      </c>
      <c r="M9">
        <v>7</v>
      </c>
      <c r="N9" t="b">
        <v>1</v>
      </c>
      <c r="O9" t="b">
        <v>0</v>
      </c>
      <c r="P9">
        <v>31</v>
      </c>
      <c r="Q9">
        <v>4</v>
      </c>
      <c r="R9">
        <v>1</v>
      </c>
      <c r="S9">
        <v>0</v>
      </c>
      <c r="T9" t="s">
        <v>218</v>
      </c>
      <c r="U9" s="20" t="s">
        <v>190</v>
      </c>
      <c r="W9">
        <v>0</v>
      </c>
      <c r="X9">
        <v>0</v>
      </c>
      <c r="Y9">
        <v>0</v>
      </c>
      <c r="Z9">
        <v>1</v>
      </c>
      <c r="AA9" t="b">
        <v>1</v>
      </c>
      <c r="AC9" s="20" t="s">
        <v>195</v>
      </c>
      <c r="AD9" s="20" t="s">
        <v>196</v>
      </c>
      <c r="AE9" s="20" t="s">
        <v>197</v>
      </c>
      <c r="AF9" s="20" t="s">
        <v>198</v>
      </c>
      <c r="AG9" s="20" t="s">
        <v>199</v>
      </c>
      <c r="AH9" s="20" t="s">
        <v>200</v>
      </c>
      <c r="AI9" s="20" t="s">
        <v>201</v>
      </c>
      <c r="BB9" s="20" t="s">
        <v>202</v>
      </c>
      <c r="BC9" s="20" t="s">
        <v>203</v>
      </c>
      <c r="BD9" s="20" t="s">
        <v>204</v>
      </c>
      <c r="BE9" s="20" t="s">
        <v>205</v>
      </c>
      <c r="BF9" s="20" t="s">
        <v>206</v>
      </c>
      <c r="BG9" s="20" t="s">
        <v>207</v>
      </c>
      <c r="BH9" s="20" t="s">
        <v>208</v>
      </c>
      <c r="CA9" t="s">
        <v>209</v>
      </c>
      <c r="CB9" t="s">
        <v>210</v>
      </c>
      <c r="CC9" t="s">
        <v>211</v>
      </c>
      <c r="CD9" t="s">
        <v>212</v>
      </c>
      <c r="CE9" t="s">
        <v>213</v>
      </c>
      <c r="CF9" t="s">
        <v>214</v>
      </c>
      <c r="CG9" t="s">
        <v>215</v>
      </c>
    </row>
    <row r="10" spans="1:85" x14ac:dyDescent="0.25">
      <c r="A10">
        <v>6</v>
      </c>
      <c r="B10" t="b">
        <v>1</v>
      </c>
      <c r="C10">
        <v>0</v>
      </c>
      <c r="D10" t="s">
        <v>189</v>
      </c>
      <c r="E10">
        <f>'SW CC grad'!$G$4</f>
        <v>93.6</v>
      </c>
      <c r="F10" t="s">
        <v>188</v>
      </c>
      <c r="G10" t="s">
        <v>194</v>
      </c>
      <c r="H10" s="20" t="s">
        <v>191</v>
      </c>
      <c r="I10" s="20" t="s">
        <v>192</v>
      </c>
      <c r="J10" s="20" t="s">
        <v>193</v>
      </c>
      <c r="K10" s="20" t="s">
        <v>193</v>
      </c>
      <c r="L10" s="20" t="s">
        <v>190</v>
      </c>
      <c r="M10">
        <v>7</v>
      </c>
      <c r="N10" t="b">
        <v>1</v>
      </c>
      <c r="O10" t="b">
        <v>0</v>
      </c>
      <c r="P10">
        <v>31</v>
      </c>
      <c r="Q10">
        <v>5</v>
      </c>
      <c r="R10">
        <v>1</v>
      </c>
      <c r="S10">
        <v>0</v>
      </c>
      <c r="T10" t="s">
        <v>219</v>
      </c>
      <c r="U10" s="20" t="s">
        <v>190</v>
      </c>
      <c r="W10">
        <v>0</v>
      </c>
      <c r="X10">
        <v>0</v>
      </c>
      <c r="Y10">
        <v>0</v>
      </c>
      <c r="Z10">
        <v>1</v>
      </c>
      <c r="AA10" t="b">
        <v>1</v>
      </c>
      <c r="AC10" s="20" t="s">
        <v>195</v>
      </c>
      <c r="AD10" s="20" t="s">
        <v>196</v>
      </c>
      <c r="AE10" s="20" t="s">
        <v>197</v>
      </c>
      <c r="AF10" s="20" t="s">
        <v>198</v>
      </c>
      <c r="AG10" s="20" t="s">
        <v>199</v>
      </c>
      <c r="AH10" s="20" t="s">
        <v>200</v>
      </c>
      <c r="AI10" s="20" t="s">
        <v>201</v>
      </c>
      <c r="BB10" s="20" t="s">
        <v>202</v>
      </c>
      <c r="BC10" s="20" t="s">
        <v>203</v>
      </c>
      <c r="BD10" s="20" t="s">
        <v>204</v>
      </c>
      <c r="BE10" s="20" t="s">
        <v>205</v>
      </c>
      <c r="BF10" s="20" t="s">
        <v>206</v>
      </c>
      <c r="BG10" s="20" t="s">
        <v>207</v>
      </c>
      <c r="BH10" s="20" t="s">
        <v>208</v>
      </c>
      <c r="CA10" t="s">
        <v>209</v>
      </c>
      <c r="CB10" t="s">
        <v>210</v>
      </c>
      <c r="CC10" t="s">
        <v>211</v>
      </c>
      <c r="CD10" t="s">
        <v>212</v>
      </c>
      <c r="CE10" t="s">
        <v>213</v>
      </c>
      <c r="CF10" t="s">
        <v>214</v>
      </c>
      <c r="CG10" t="s">
        <v>215</v>
      </c>
    </row>
    <row r="11" spans="1:85" x14ac:dyDescent="0.25">
      <c r="A11">
        <v>7</v>
      </c>
      <c r="B11" t="b">
        <v>1</v>
      </c>
      <c r="C11">
        <v>0</v>
      </c>
      <c r="D11" t="s">
        <v>189</v>
      </c>
      <c r="E11">
        <f>'SW CC grad'!$H$4</f>
        <v>93.6</v>
      </c>
      <c r="F11" t="s">
        <v>188</v>
      </c>
      <c r="G11" t="s">
        <v>194</v>
      </c>
      <c r="H11" s="20" t="s">
        <v>191</v>
      </c>
      <c r="I11" s="20" t="s">
        <v>192</v>
      </c>
      <c r="J11" s="20" t="s">
        <v>193</v>
      </c>
      <c r="K11" s="20" t="s">
        <v>193</v>
      </c>
      <c r="L11" s="20" t="s">
        <v>190</v>
      </c>
      <c r="M11">
        <v>7</v>
      </c>
      <c r="N11" t="b">
        <v>1</v>
      </c>
      <c r="O11" t="b">
        <v>0</v>
      </c>
      <c r="P11">
        <v>31</v>
      </c>
      <c r="Q11">
        <v>6</v>
      </c>
      <c r="R11">
        <v>1</v>
      </c>
      <c r="S11">
        <v>0</v>
      </c>
      <c r="T11" t="s">
        <v>220</v>
      </c>
      <c r="U11" s="20" t="s">
        <v>190</v>
      </c>
      <c r="W11">
        <v>0</v>
      </c>
      <c r="X11">
        <v>0</v>
      </c>
      <c r="Y11">
        <v>0</v>
      </c>
      <c r="Z11">
        <v>1</v>
      </c>
      <c r="AA11" t="b">
        <v>1</v>
      </c>
      <c r="AC11" s="20" t="s">
        <v>195</v>
      </c>
      <c r="AD11" s="20" t="s">
        <v>196</v>
      </c>
      <c r="AE11" s="20" t="s">
        <v>197</v>
      </c>
      <c r="AF11" s="20" t="s">
        <v>198</v>
      </c>
      <c r="AG11" s="20" t="s">
        <v>199</v>
      </c>
      <c r="AH11" s="20" t="s">
        <v>200</v>
      </c>
      <c r="AI11" s="20" t="s">
        <v>201</v>
      </c>
      <c r="BB11" s="20" t="s">
        <v>202</v>
      </c>
      <c r="BC11" s="20" t="s">
        <v>203</v>
      </c>
      <c r="BD11" s="20" t="s">
        <v>204</v>
      </c>
      <c r="BE11" s="20" t="s">
        <v>205</v>
      </c>
      <c r="BF11" s="20" t="s">
        <v>206</v>
      </c>
      <c r="BG11" s="20" t="s">
        <v>207</v>
      </c>
      <c r="BH11" s="20" t="s">
        <v>208</v>
      </c>
      <c r="CA11" t="s">
        <v>209</v>
      </c>
      <c r="CB11" t="s">
        <v>210</v>
      </c>
      <c r="CC11" t="s">
        <v>211</v>
      </c>
      <c r="CD11" t="s">
        <v>212</v>
      </c>
      <c r="CE11" t="s">
        <v>213</v>
      </c>
      <c r="CF11" t="s">
        <v>214</v>
      </c>
      <c r="CG11" t="s">
        <v>215</v>
      </c>
    </row>
    <row r="12" spans="1:85" x14ac:dyDescent="0.25">
      <c r="A12">
        <v>8</v>
      </c>
      <c r="B12" t="b">
        <v>1</v>
      </c>
      <c r="C12">
        <v>0</v>
      </c>
      <c r="D12" t="s">
        <v>189</v>
      </c>
      <c r="E12">
        <f>'SW CC grad'!$I$4</f>
        <v>93.6</v>
      </c>
      <c r="F12" t="s">
        <v>188</v>
      </c>
      <c r="G12" t="s">
        <v>194</v>
      </c>
      <c r="H12" s="20" t="s">
        <v>191</v>
      </c>
      <c r="I12" s="20" t="s">
        <v>192</v>
      </c>
      <c r="J12" s="20" t="s">
        <v>193</v>
      </c>
      <c r="K12" s="20" t="s">
        <v>193</v>
      </c>
      <c r="L12" s="20" t="s">
        <v>190</v>
      </c>
      <c r="M12">
        <v>7</v>
      </c>
      <c r="N12" t="b">
        <v>1</v>
      </c>
      <c r="O12" t="b">
        <v>0</v>
      </c>
      <c r="P12">
        <v>31</v>
      </c>
      <c r="Q12">
        <v>7</v>
      </c>
      <c r="R12">
        <v>1</v>
      </c>
      <c r="S12">
        <v>0</v>
      </c>
      <c r="T12" t="s">
        <v>221</v>
      </c>
      <c r="U12" s="20" t="s">
        <v>190</v>
      </c>
      <c r="W12">
        <v>0</v>
      </c>
      <c r="X12">
        <v>0</v>
      </c>
      <c r="Y12">
        <v>0</v>
      </c>
      <c r="Z12">
        <v>1</v>
      </c>
      <c r="AA12" t="b">
        <v>1</v>
      </c>
      <c r="AC12" s="20" t="s">
        <v>195</v>
      </c>
      <c r="AD12" s="20" t="s">
        <v>196</v>
      </c>
      <c r="AE12" s="20" t="s">
        <v>197</v>
      </c>
      <c r="AF12" s="20" t="s">
        <v>198</v>
      </c>
      <c r="AG12" s="20" t="s">
        <v>199</v>
      </c>
      <c r="AH12" s="20" t="s">
        <v>200</v>
      </c>
      <c r="AI12" s="20" t="s">
        <v>201</v>
      </c>
      <c r="BB12" s="20" t="s">
        <v>202</v>
      </c>
      <c r="BC12" s="20" t="s">
        <v>203</v>
      </c>
      <c r="BD12" s="20" t="s">
        <v>204</v>
      </c>
      <c r="BE12" s="20" t="s">
        <v>205</v>
      </c>
      <c r="BF12" s="20" t="s">
        <v>206</v>
      </c>
      <c r="BG12" s="20" t="s">
        <v>207</v>
      </c>
      <c r="BH12" s="20" t="s">
        <v>208</v>
      </c>
      <c r="CA12" t="s">
        <v>209</v>
      </c>
      <c r="CB12" t="s">
        <v>210</v>
      </c>
      <c r="CC12" t="s">
        <v>211</v>
      </c>
      <c r="CD12" t="s">
        <v>212</v>
      </c>
      <c r="CE12" t="s">
        <v>213</v>
      </c>
      <c r="CF12" t="s">
        <v>214</v>
      </c>
      <c r="CG12" t="s">
        <v>215</v>
      </c>
    </row>
    <row r="13" spans="1:85" x14ac:dyDescent="0.25">
      <c r="A13">
        <v>9</v>
      </c>
      <c r="B13" t="b">
        <v>1</v>
      </c>
      <c r="C13">
        <v>0</v>
      </c>
      <c r="D13" t="s">
        <v>189</v>
      </c>
      <c r="E13">
        <f>'SW CC grad'!$J$4</f>
        <v>93.6</v>
      </c>
      <c r="F13" t="s">
        <v>188</v>
      </c>
      <c r="G13" t="s">
        <v>194</v>
      </c>
      <c r="H13" s="20" t="s">
        <v>191</v>
      </c>
      <c r="I13" s="20" t="s">
        <v>192</v>
      </c>
      <c r="J13" s="20" t="s">
        <v>193</v>
      </c>
      <c r="K13" s="20" t="s">
        <v>193</v>
      </c>
      <c r="L13" s="20" t="s">
        <v>190</v>
      </c>
      <c r="M13">
        <v>7</v>
      </c>
      <c r="N13" t="b">
        <v>1</v>
      </c>
      <c r="O13" t="b">
        <v>0</v>
      </c>
      <c r="P13">
        <v>31</v>
      </c>
      <c r="Q13">
        <v>8</v>
      </c>
      <c r="R13">
        <v>1</v>
      </c>
      <c r="S13">
        <v>0</v>
      </c>
      <c r="T13" t="s">
        <v>222</v>
      </c>
      <c r="U13" s="20" t="s">
        <v>190</v>
      </c>
      <c r="W13">
        <v>0</v>
      </c>
      <c r="X13">
        <v>0</v>
      </c>
      <c r="Y13">
        <v>0</v>
      </c>
      <c r="Z13">
        <v>1</v>
      </c>
      <c r="AA13" t="b">
        <v>1</v>
      </c>
      <c r="AC13" s="20" t="s">
        <v>195</v>
      </c>
      <c r="AD13" s="20" t="s">
        <v>196</v>
      </c>
      <c r="AE13" s="20" t="s">
        <v>197</v>
      </c>
      <c r="AF13" s="20" t="s">
        <v>198</v>
      </c>
      <c r="AG13" s="20" t="s">
        <v>199</v>
      </c>
      <c r="AH13" s="20" t="s">
        <v>200</v>
      </c>
      <c r="AI13" s="20" t="s">
        <v>201</v>
      </c>
      <c r="BB13" s="20" t="s">
        <v>202</v>
      </c>
      <c r="BC13" s="20" t="s">
        <v>203</v>
      </c>
      <c r="BD13" s="20" t="s">
        <v>204</v>
      </c>
      <c r="BE13" s="20" t="s">
        <v>205</v>
      </c>
      <c r="BF13" s="20" t="s">
        <v>206</v>
      </c>
      <c r="BG13" s="20" t="s">
        <v>207</v>
      </c>
      <c r="BH13" s="20" t="s">
        <v>208</v>
      </c>
      <c r="CA13" t="s">
        <v>209</v>
      </c>
      <c r="CB13" t="s">
        <v>210</v>
      </c>
      <c r="CC13" t="s">
        <v>211</v>
      </c>
      <c r="CD13" t="s">
        <v>212</v>
      </c>
      <c r="CE13" t="s">
        <v>213</v>
      </c>
      <c r="CF13" t="s">
        <v>214</v>
      </c>
      <c r="CG13" t="s">
        <v>215</v>
      </c>
    </row>
    <row r="14" spans="1:85" x14ac:dyDescent="0.25">
      <c r="A14">
        <v>10</v>
      </c>
      <c r="B14" t="b">
        <v>1</v>
      </c>
      <c r="C14">
        <v>0</v>
      </c>
      <c r="D14" t="s">
        <v>189</v>
      </c>
      <c r="E14">
        <f>'SW CC grad'!$K$4</f>
        <v>93.6</v>
      </c>
      <c r="F14" t="s">
        <v>188</v>
      </c>
      <c r="G14" t="s">
        <v>194</v>
      </c>
      <c r="H14" s="20" t="s">
        <v>191</v>
      </c>
      <c r="I14" s="20" t="s">
        <v>192</v>
      </c>
      <c r="J14" s="20" t="s">
        <v>193</v>
      </c>
      <c r="K14" s="20" t="s">
        <v>193</v>
      </c>
      <c r="L14" s="20" t="s">
        <v>190</v>
      </c>
      <c r="M14">
        <v>7</v>
      </c>
      <c r="N14" t="b">
        <v>1</v>
      </c>
      <c r="O14" t="b">
        <v>0</v>
      </c>
      <c r="P14">
        <v>31</v>
      </c>
      <c r="Q14">
        <v>9</v>
      </c>
      <c r="R14">
        <v>1</v>
      </c>
      <c r="S14">
        <v>0</v>
      </c>
      <c r="T14" t="s">
        <v>223</v>
      </c>
      <c r="U14" s="20" t="s">
        <v>190</v>
      </c>
      <c r="W14">
        <v>0</v>
      </c>
      <c r="X14">
        <v>0</v>
      </c>
      <c r="Y14">
        <v>0</v>
      </c>
      <c r="Z14">
        <v>1</v>
      </c>
      <c r="AA14" t="b">
        <v>1</v>
      </c>
      <c r="AC14" s="20" t="s">
        <v>195</v>
      </c>
      <c r="AD14" s="20" t="s">
        <v>196</v>
      </c>
      <c r="AE14" s="20" t="s">
        <v>197</v>
      </c>
      <c r="AF14" s="20" t="s">
        <v>198</v>
      </c>
      <c r="AG14" s="20" t="s">
        <v>199</v>
      </c>
      <c r="AH14" s="20" t="s">
        <v>200</v>
      </c>
      <c r="AI14" s="20" t="s">
        <v>201</v>
      </c>
      <c r="BB14" s="20" t="s">
        <v>202</v>
      </c>
      <c r="BC14" s="20" t="s">
        <v>203</v>
      </c>
      <c r="BD14" s="20" t="s">
        <v>204</v>
      </c>
      <c r="BE14" s="20" t="s">
        <v>205</v>
      </c>
      <c r="BF14" s="20" t="s">
        <v>206</v>
      </c>
      <c r="BG14" s="20" t="s">
        <v>207</v>
      </c>
      <c r="BH14" s="20" t="s">
        <v>208</v>
      </c>
      <c r="CA14" t="s">
        <v>209</v>
      </c>
      <c r="CB14" t="s">
        <v>210</v>
      </c>
      <c r="CC14" t="s">
        <v>211</v>
      </c>
      <c r="CD14" t="s">
        <v>212</v>
      </c>
      <c r="CE14" t="s">
        <v>213</v>
      </c>
      <c r="CF14" t="s">
        <v>214</v>
      </c>
      <c r="CG14" t="s">
        <v>215</v>
      </c>
    </row>
    <row r="15" spans="1:85" x14ac:dyDescent="0.25">
      <c r="A15">
        <v>11</v>
      </c>
      <c r="B15" t="b">
        <v>1</v>
      </c>
      <c r="C15">
        <v>0</v>
      </c>
      <c r="D15" t="s">
        <v>189</v>
      </c>
      <c r="E15">
        <f>'SW CC grad'!$L$4</f>
        <v>93.6</v>
      </c>
      <c r="F15" t="s">
        <v>188</v>
      </c>
      <c r="G15" t="s">
        <v>194</v>
      </c>
      <c r="H15" s="20" t="s">
        <v>191</v>
      </c>
      <c r="I15" s="20" t="s">
        <v>192</v>
      </c>
      <c r="J15" s="20" t="s">
        <v>193</v>
      </c>
      <c r="K15" s="20" t="s">
        <v>193</v>
      </c>
      <c r="L15" s="20" t="s">
        <v>190</v>
      </c>
      <c r="M15">
        <v>7</v>
      </c>
      <c r="N15" t="b">
        <v>1</v>
      </c>
      <c r="O15" t="b">
        <v>0</v>
      </c>
      <c r="P15">
        <v>31</v>
      </c>
      <c r="Q15">
        <v>10</v>
      </c>
      <c r="R15">
        <v>1</v>
      </c>
      <c r="S15">
        <v>0</v>
      </c>
      <c r="T15" t="s">
        <v>224</v>
      </c>
      <c r="U15" s="20" t="s">
        <v>190</v>
      </c>
      <c r="W15">
        <v>0</v>
      </c>
      <c r="X15">
        <v>0</v>
      </c>
      <c r="Y15">
        <v>0</v>
      </c>
      <c r="Z15">
        <v>1</v>
      </c>
      <c r="AA15" t="b">
        <v>1</v>
      </c>
      <c r="AC15" s="20" t="s">
        <v>195</v>
      </c>
      <c r="AD15" s="20" t="s">
        <v>196</v>
      </c>
      <c r="AE15" s="20" t="s">
        <v>197</v>
      </c>
      <c r="AF15" s="20" t="s">
        <v>198</v>
      </c>
      <c r="AG15" s="20" t="s">
        <v>199</v>
      </c>
      <c r="AH15" s="20" t="s">
        <v>200</v>
      </c>
      <c r="AI15" s="20" t="s">
        <v>201</v>
      </c>
      <c r="BB15" s="20" t="s">
        <v>202</v>
      </c>
      <c r="BC15" s="20" t="s">
        <v>203</v>
      </c>
      <c r="BD15" s="20" t="s">
        <v>204</v>
      </c>
      <c r="BE15" s="20" t="s">
        <v>205</v>
      </c>
      <c r="BF15" s="20" t="s">
        <v>206</v>
      </c>
      <c r="BG15" s="20" t="s">
        <v>207</v>
      </c>
      <c r="BH15" s="20" t="s">
        <v>208</v>
      </c>
      <c r="CA15" t="s">
        <v>209</v>
      </c>
      <c r="CB15" t="s">
        <v>210</v>
      </c>
      <c r="CC15" t="s">
        <v>211</v>
      </c>
      <c r="CD15" t="s">
        <v>212</v>
      </c>
      <c r="CE15" t="s">
        <v>213</v>
      </c>
      <c r="CF15" t="s">
        <v>214</v>
      </c>
      <c r="CG15" t="s">
        <v>215</v>
      </c>
    </row>
    <row r="16" spans="1:85" x14ac:dyDescent="0.25">
      <c r="A16">
        <v>12</v>
      </c>
      <c r="B16" t="b">
        <v>1</v>
      </c>
      <c r="C16">
        <v>0</v>
      </c>
      <c r="D16" t="s">
        <v>189</v>
      </c>
      <c r="E16">
        <f>'SW CC grad'!$M$4</f>
        <v>93.6</v>
      </c>
      <c r="F16" t="s">
        <v>188</v>
      </c>
      <c r="G16" t="s">
        <v>194</v>
      </c>
      <c r="H16" s="20" t="s">
        <v>191</v>
      </c>
      <c r="I16" s="20" t="s">
        <v>192</v>
      </c>
      <c r="J16" s="20" t="s">
        <v>193</v>
      </c>
      <c r="K16" s="20" t="s">
        <v>193</v>
      </c>
      <c r="L16" s="20" t="s">
        <v>190</v>
      </c>
      <c r="M16">
        <v>7</v>
      </c>
      <c r="N16" t="b">
        <v>1</v>
      </c>
      <c r="O16" t="b">
        <v>0</v>
      </c>
      <c r="P16">
        <v>31</v>
      </c>
      <c r="Q16">
        <v>11</v>
      </c>
      <c r="R16">
        <v>1</v>
      </c>
      <c r="S16">
        <v>0</v>
      </c>
      <c r="T16" t="s">
        <v>225</v>
      </c>
      <c r="U16" s="20" t="s">
        <v>190</v>
      </c>
      <c r="W16">
        <v>0</v>
      </c>
      <c r="X16">
        <v>0</v>
      </c>
      <c r="Y16">
        <v>0</v>
      </c>
      <c r="Z16">
        <v>1</v>
      </c>
      <c r="AA16" t="b">
        <v>1</v>
      </c>
      <c r="AC16" s="20" t="s">
        <v>195</v>
      </c>
      <c r="AD16" s="20" t="s">
        <v>196</v>
      </c>
      <c r="AE16" s="20" t="s">
        <v>197</v>
      </c>
      <c r="AF16" s="20" t="s">
        <v>198</v>
      </c>
      <c r="AG16" s="20" t="s">
        <v>199</v>
      </c>
      <c r="AH16" s="20" t="s">
        <v>200</v>
      </c>
      <c r="AI16" s="20" t="s">
        <v>201</v>
      </c>
      <c r="BB16" s="20" t="s">
        <v>202</v>
      </c>
      <c r="BC16" s="20" t="s">
        <v>203</v>
      </c>
      <c r="BD16" s="20" t="s">
        <v>204</v>
      </c>
      <c r="BE16" s="20" t="s">
        <v>205</v>
      </c>
      <c r="BF16" s="20" t="s">
        <v>206</v>
      </c>
      <c r="BG16" s="20" t="s">
        <v>207</v>
      </c>
      <c r="BH16" s="20" t="s">
        <v>208</v>
      </c>
      <c r="CA16" t="s">
        <v>209</v>
      </c>
      <c r="CB16" t="s">
        <v>210</v>
      </c>
      <c r="CC16" t="s">
        <v>211</v>
      </c>
      <c r="CD16" t="s">
        <v>212</v>
      </c>
      <c r="CE16" t="s">
        <v>213</v>
      </c>
      <c r="CF16" t="s">
        <v>214</v>
      </c>
      <c r="CG16" t="s">
        <v>215</v>
      </c>
    </row>
    <row r="17" spans="1:85" x14ac:dyDescent="0.25">
      <c r="A17">
        <v>13</v>
      </c>
      <c r="B17" t="b">
        <v>1</v>
      </c>
      <c r="C17">
        <v>0</v>
      </c>
      <c r="D17" t="s">
        <v>189</v>
      </c>
      <c r="E17">
        <f>'SW CC grad'!$N$4</f>
        <v>93.6</v>
      </c>
      <c r="F17" t="s">
        <v>188</v>
      </c>
      <c r="G17" t="s">
        <v>194</v>
      </c>
      <c r="H17" s="20" t="s">
        <v>191</v>
      </c>
      <c r="I17" s="20" t="s">
        <v>192</v>
      </c>
      <c r="J17" s="20" t="s">
        <v>193</v>
      </c>
      <c r="K17" s="20" t="s">
        <v>193</v>
      </c>
      <c r="L17" s="20" t="s">
        <v>190</v>
      </c>
      <c r="M17">
        <v>7</v>
      </c>
      <c r="N17" t="b">
        <v>1</v>
      </c>
      <c r="O17" t="b">
        <v>0</v>
      </c>
      <c r="P17">
        <v>31</v>
      </c>
      <c r="Q17">
        <v>12</v>
      </c>
      <c r="R17">
        <v>1</v>
      </c>
      <c r="S17">
        <v>0</v>
      </c>
      <c r="T17" t="s">
        <v>226</v>
      </c>
      <c r="U17" s="20" t="s">
        <v>190</v>
      </c>
      <c r="W17">
        <v>0</v>
      </c>
      <c r="X17">
        <v>0</v>
      </c>
      <c r="Y17">
        <v>0</v>
      </c>
      <c r="Z17">
        <v>1</v>
      </c>
      <c r="AA17" t="b">
        <v>1</v>
      </c>
      <c r="AC17" s="20" t="s">
        <v>195</v>
      </c>
      <c r="AD17" s="20" t="s">
        <v>196</v>
      </c>
      <c r="AE17" s="20" t="s">
        <v>197</v>
      </c>
      <c r="AF17" s="20" t="s">
        <v>198</v>
      </c>
      <c r="AG17" s="20" t="s">
        <v>199</v>
      </c>
      <c r="AH17" s="20" t="s">
        <v>200</v>
      </c>
      <c r="AI17" s="20" t="s">
        <v>201</v>
      </c>
      <c r="BB17" s="20" t="s">
        <v>202</v>
      </c>
      <c r="BC17" s="20" t="s">
        <v>203</v>
      </c>
      <c r="BD17" s="20" t="s">
        <v>204</v>
      </c>
      <c r="BE17" s="20" t="s">
        <v>205</v>
      </c>
      <c r="BF17" s="20" t="s">
        <v>206</v>
      </c>
      <c r="BG17" s="20" t="s">
        <v>207</v>
      </c>
      <c r="BH17" s="20" t="s">
        <v>208</v>
      </c>
      <c r="CA17" t="s">
        <v>209</v>
      </c>
      <c r="CB17" t="s">
        <v>210</v>
      </c>
      <c r="CC17" t="s">
        <v>211</v>
      </c>
      <c r="CD17" t="s">
        <v>212</v>
      </c>
      <c r="CE17" t="s">
        <v>213</v>
      </c>
      <c r="CF17" t="s">
        <v>214</v>
      </c>
      <c r="CG17" t="s">
        <v>215</v>
      </c>
    </row>
    <row r="18" spans="1:85" x14ac:dyDescent="0.25">
      <c r="A18">
        <v>14</v>
      </c>
      <c r="B18" t="b">
        <v>1</v>
      </c>
      <c r="C18">
        <v>0</v>
      </c>
      <c r="D18" t="s">
        <v>189</v>
      </c>
      <c r="E18">
        <f>'SW CC grad'!$O$4</f>
        <v>93.6</v>
      </c>
      <c r="F18" t="s">
        <v>188</v>
      </c>
      <c r="G18" t="s">
        <v>194</v>
      </c>
      <c r="H18" s="20" t="s">
        <v>191</v>
      </c>
      <c r="I18" s="20" t="s">
        <v>192</v>
      </c>
      <c r="J18" s="20" t="s">
        <v>193</v>
      </c>
      <c r="K18" s="20" t="s">
        <v>193</v>
      </c>
      <c r="L18" s="20" t="s">
        <v>190</v>
      </c>
      <c r="M18">
        <v>7</v>
      </c>
      <c r="N18" t="b">
        <v>1</v>
      </c>
      <c r="O18" t="b">
        <v>0</v>
      </c>
      <c r="P18">
        <v>31</v>
      </c>
      <c r="Q18">
        <v>13</v>
      </c>
      <c r="R18">
        <v>1</v>
      </c>
      <c r="S18">
        <v>0</v>
      </c>
      <c r="T18" t="s">
        <v>227</v>
      </c>
      <c r="U18" s="20" t="s">
        <v>190</v>
      </c>
      <c r="W18">
        <v>0</v>
      </c>
      <c r="X18">
        <v>0</v>
      </c>
      <c r="Y18">
        <v>0</v>
      </c>
      <c r="Z18">
        <v>1</v>
      </c>
      <c r="AA18" t="b">
        <v>1</v>
      </c>
      <c r="AC18" s="20" t="s">
        <v>195</v>
      </c>
      <c r="AD18" s="20" t="s">
        <v>196</v>
      </c>
      <c r="AE18" s="20" t="s">
        <v>197</v>
      </c>
      <c r="AF18" s="20" t="s">
        <v>198</v>
      </c>
      <c r="AG18" s="20" t="s">
        <v>199</v>
      </c>
      <c r="AH18" s="20" t="s">
        <v>200</v>
      </c>
      <c r="AI18" s="20" t="s">
        <v>201</v>
      </c>
      <c r="BB18" s="20" t="s">
        <v>202</v>
      </c>
      <c r="BC18" s="20" t="s">
        <v>203</v>
      </c>
      <c r="BD18" s="20" t="s">
        <v>204</v>
      </c>
      <c r="BE18" s="20" t="s">
        <v>205</v>
      </c>
      <c r="BF18" s="20" t="s">
        <v>206</v>
      </c>
      <c r="BG18" s="20" t="s">
        <v>207</v>
      </c>
      <c r="BH18" s="20" t="s">
        <v>208</v>
      </c>
      <c r="CA18" t="s">
        <v>209</v>
      </c>
      <c r="CB18" t="s">
        <v>210</v>
      </c>
      <c r="CC18" t="s">
        <v>211</v>
      </c>
      <c r="CD18" t="s">
        <v>212</v>
      </c>
      <c r="CE18" t="s">
        <v>213</v>
      </c>
      <c r="CF18" t="s">
        <v>214</v>
      </c>
      <c r="CG18" t="s">
        <v>215</v>
      </c>
    </row>
    <row r="19" spans="1:85" x14ac:dyDescent="0.25">
      <c r="A19">
        <v>15</v>
      </c>
      <c r="B19" t="b">
        <v>1</v>
      </c>
      <c r="C19">
        <v>0</v>
      </c>
      <c r="D19" t="s">
        <v>189</v>
      </c>
      <c r="E19">
        <f>'SW CC grad'!$P$4</f>
        <v>93.6</v>
      </c>
      <c r="F19" t="s">
        <v>188</v>
      </c>
      <c r="G19" t="s">
        <v>194</v>
      </c>
      <c r="H19" s="20" t="s">
        <v>191</v>
      </c>
      <c r="I19" s="20" t="s">
        <v>192</v>
      </c>
      <c r="J19" s="20" t="s">
        <v>193</v>
      </c>
      <c r="K19" s="20" t="s">
        <v>193</v>
      </c>
      <c r="L19" s="20" t="s">
        <v>190</v>
      </c>
      <c r="M19">
        <v>7</v>
      </c>
      <c r="N19" t="b">
        <v>1</v>
      </c>
      <c r="O19" t="b">
        <v>0</v>
      </c>
      <c r="P19">
        <v>31</v>
      </c>
      <c r="Q19">
        <v>14</v>
      </c>
      <c r="R19">
        <v>1</v>
      </c>
      <c r="S19">
        <v>0</v>
      </c>
      <c r="T19" t="s">
        <v>228</v>
      </c>
      <c r="U19" s="20" t="s">
        <v>190</v>
      </c>
      <c r="W19">
        <v>0</v>
      </c>
      <c r="X19">
        <v>0</v>
      </c>
      <c r="Y19">
        <v>0</v>
      </c>
      <c r="Z19">
        <v>1</v>
      </c>
      <c r="AA19" t="b">
        <v>1</v>
      </c>
      <c r="AC19" s="20" t="s">
        <v>195</v>
      </c>
      <c r="AD19" s="20" t="s">
        <v>196</v>
      </c>
      <c r="AE19" s="20" t="s">
        <v>197</v>
      </c>
      <c r="AF19" s="20" t="s">
        <v>198</v>
      </c>
      <c r="AG19" s="20" t="s">
        <v>199</v>
      </c>
      <c r="AH19" s="20" t="s">
        <v>200</v>
      </c>
      <c r="AI19" s="20" t="s">
        <v>201</v>
      </c>
      <c r="BB19" s="20" t="s">
        <v>202</v>
      </c>
      <c r="BC19" s="20" t="s">
        <v>203</v>
      </c>
      <c r="BD19" s="20" t="s">
        <v>204</v>
      </c>
      <c r="BE19" s="20" t="s">
        <v>205</v>
      </c>
      <c r="BF19" s="20" t="s">
        <v>206</v>
      </c>
      <c r="BG19" s="20" t="s">
        <v>207</v>
      </c>
      <c r="BH19" s="20" t="s">
        <v>208</v>
      </c>
      <c r="CA19" t="s">
        <v>209</v>
      </c>
      <c r="CB19" t="s">
        <v>210</v>
      </c>
      <c r="CC19" t="s">
        <v>211</v>
      </c>
      <c r="CD19" t="s">
        <v>212</v>
      </c>
      <c r="CE19" t="s">
        <v>213</v>
      </c>
      <c r="CF19" t="s">
        <v>214</v>
      </c>
      <c r="CG19" t="s">
        <v>215</v>
      </c>
    </row>
    <row r="20" spans="1:85" x14ac:dyDescent="0.25">
      <c r="A20">
        <v>16</v>
      </c>
      <c r="B20" t="b">
        <v>1</v>
      </c>
      <c r="C20">
        <v>0</v>
      </c>
      <c r="D20" t="s">
        <v>189</v>
      </c>
      <c r="E20">
        <f>'SW CC grad'!$Q$4</f>
        <v>93.6</v>
      </c>
      <c r="F20" t="s">
        <v>188</v>
      </c>
      <c r="G20" t="s">
        <v>194</v>
      </c>
      <c r="H20" s="20" t="s">
        <v>191</v>
      </c>
      <c r="I20" s="20" t="s">
        <v>192</v>
      </c>
      <c r="J20" s="20" t="s">
        <v>193</v>
      </c>
      <c r="K20" s="20" t="s">
        <v>193</v>
      </c>
      <c r="L20" s="20" t="s">
        <v>190</v>
      </c>
      <c r="M20">
        <v>7</v>
      </c>
      <c r="N20" t="b">
        <v>1</v>
      </c>
      <c r="O20" t="b">
        <v>0</v>
      </c>
      <c r="P20">
        <v>31</v>
      </c>
      <c r="Q20">
        <v>15</v>
      </c>
      <c r="R20">
        <v>1</v>
      </c>
      <c r="S20">
        <v>0</v>
      </c>
      <c r="T20" t="s">
        <v>229</v>
      </c>
      <c r="U20" s="20" t="s">
        <v>190</v>
      </c>
      <c r="W20">
        <v>0</v>
      </c>
      <c r="X20">
        <v>0</v>
      </c>
      <c r="Y20">
        <v>0</v>
      </c>
      <c r="Z20">
        <v>1</v>
      </c>
      <c r="AA20" t="b">
        <v>1</v>
      </c>
      <c r="AC20" s="20" t="s">
        <v>195</v>
      </c>
      <c r="AD20" s="20" t="s">
        <v>196</v>
      </c>
      <c r="AE20" s="20" t="s">
        <v>197</v>
      </c>
      <c r="AF20" s="20" t="s">
        <v>198</v>
      </c>
      <c r="AG20" s="20" t="s">
        <v>199</v>
      </c>
      <c r="AH20" s="20" t="s">
        <v>200</v>
      </c>
      <c r="AI20" s="20" t="s">
        <v>201</v>
      </c>
      <c r="BB20" s="20" t="s">
        <v>202</v>
      </c>
      <c r="BC20" s="20" t="s">
        <v>203</v>
      </c>
      <c r="BD20" s="20" t="s">
        <v>204</v>
      </c>
      <c r="BE20" s="20" t="s">
        <v>205</v>
      </c>
      <c r="BF20" s="20" t="s">
        <v>206</v>
      </c>
      <c r="BG20" s="20" t="s">
        <v>207</v>
      </c>
      <c r="BH20" s="20" t="s">
        <v>208</v>
      </c>
      <c r="CA20" t="s">
        <v>209</v>
      </c>
      <c r="CB20" t="s">
        <v>210</v>
      </c>
      <c r="CC20" t="s">
        <v>211</v>
      </c>
      <c r="CD20" t="s">
        <v>212</v>
      </c>
      <c r="CE20" t="s">
        <v>213</v>
      </c>
      <c r="CF20" t="s">
        <v>214</v>
      </c>
      <c r="CG20" t="s">
        <v>215</v>
      </c>
    </row>
    <row r="21" spans="1:85" x14ac:dyDescent="0.25">
      <c r="A21">
        <v>17</v>
      </c>
      <c r="B21" t="b">
        <v>1</v>
      </c>
      <c r="C21">
        <v>0</v>
      </c>
      <c r="D21" t="s">
        <v>189</v>
      </c>
      <c r="E21">
        <f>'SW CC grad'!$R$4</f>
        <v>93.6</v>
      </c>
      <c r="F21" t="s">
        <v>188</v>
      </c>
      <c r="G21" t="s">
        <v>194</v>
      </c>
      <c r="H21" s="20" t="s">
        <v>191</v>
      </c>
      <c r="I21" s="20" t="s">
        <v>192</v>
      </c>
      <c r="J21" s="20" t="s">
        <v>193</v>
      </c>
      <c r="K21" s="20" t="s">
        <v>193</v>
      </c>
      <c r="L21" s="20" t="s">
        <v>190</v>
      </c>
      <c r="M21">
        <v>7</v>
      </c>
      <c r="N21" t="b">
        <v>1</v>
      </c>
      <c r="O21" t="b">
        <v>0</v>
      </c>
      <c r="P21">
        <v>31</v>
      </c>
      <c r="Q21">
        <v>16</v>
      </c>
      <c r="R21">
        <v>1</v>
      </c>
      <c r="S21">
        <v>0</v>
      </c>
      <c r="T21" t="s">
        <v>230</v>
      </c>
      <c r="U21" s="20" t="s">
        <v>190</v>
      </c>
      <c r="W21">
        <v>0</v>
      </c>
      <c r="X21">
        <v>0</v>
      </c>
      <c r="Y21">
        <v>0</v>
      </c>
      <c r="Z21">
        <v>1</v>
      </c>
      <c r="AA21" t="b">
        <v>1</v>
      </c>
      <c r="AC21" s="20" t="s">
        <v>195</v>
      </c>
      <c r="AD21" s="20" t="s">
        <v>196</v>
      </c>
      <c r="AE21" s="20" t="s">
        <v>197</v>
      </c>
      <c r="AF21" s="20" t="s">
        <v>198</v>
      </c>
      <c r="AG21" s="20" t="s">
        <v>199</v>
      </c>
      <c r="AH21" s="20" t="s">
        <v>200</v>
      </c>
      <c r="AI21" s="20" t="s">
        <v>201</v>
      </c>
      <c r="BB21" s="20" t="s">
        <v>202</v>
      </c>
      <c r="BC21" s="20" t="s">
        <v>203</v>
      </c>
      <c r="BD21" s="20" t="s">
        <v>204</v>
      </c>
      <c r="BE21" s="20" t="s">
        <v>205</v>
      </c>
      <c r="BF21" s="20" t="s">
        <v>206</v>
      </c>
      <c r="BG21" s="20" t="s">
        <v>207</v>
      </c>
      <c r="BH21" s="20" t="s">
        <v>208</v>
      </c>
      <c r="CA21" t="s">
        <v>209</v>
      </c>
      <c r="CB21" t="s">
        <v>210</v>
      </c>
      <c r="CC21" t="s">
        <v>211</v>
      </c>
      <c r="CD21" t="s">
        <v>212</v>
      </c>
      <c r="CE21" t="s">
        <v>213</v>
      </c>
      <c r="CF21" t="s">
        <v>214</v>
      </c>
      <c r="CG21" t="s">
        <v>215</v>
      </c>
    </row>
    <row r="22" spans="1:85" x14ac:dyDescent="0.25">
      <c r="A22">
        <v>18</v>
      </c>
      <c r="B22" t="b">
        <v>1</v>
      </c>
      <c r="C22">
        <v>0</v>
      </c>
      <c r="D22" t="s">
        <v>189</v>
      </c>
      <c r="E22">
        <f>'SW CC grad'!$S$4</f>
        <v>93.6</v>
      </c>
      <c r="F22" t="s">
        <v>188</v>
      </c>
      <c r="G22" t="s">
        <v>194</v>
      </c>
      <c r="H22" s="20" t="s">
        <v>191</v>
      </c>
      <c r="I22" s="20" t="s">
        <v>192</v>
      </c>
      <c r="J22" s="20" t="s">
        <v>193</v>
      </c>
      <c r="K22" s="20" t="s">
        <v>193</v>
      </c>
      <c r="L22" s="20" t="s">
        <v>190</v>
      </c>
      <c r="M22">
        <v>7</v>
      </c>
      <c r="N22" t="b">
        <v>1</v>
      </c>
      <c r="O22" t="b">
        <v>0</v>
      </c>
      <c r="P22">
        <v>31</v>
      </c>
      <c r="Q22">
        <v>17</v>
      </c>
      <c r="R22">
        <v>1</v>
      </c>
      <c r="S22">
        <v>0</v>
      </c>
      <c r="T22" t="s">
        <v>231</v>
      </c>
      <c r="U22" s="20" t="s">
        <v>190</v>
      </c>
      <c r="W22">
        <v>0</v>
      </c>
      <c r="X22">
        <v>0</v>
      </c>
      <c r="Y22">
        <v>0</v>
      </c>
      <c r="Z22">
        <v>1</v>
      </c>
      <c r="AA22" t="b">
        <v>1</v>
      </c>
      <c r="AC22" s="20" t="s">
        <v>195</v>
      </c>
      <c r="AD22" s="20" t="s">
        <v>196</v>
      </c>
      <c r="AE22" s="20" t="s">
        <v>197</v>
      </c>
      <c r="AF22" s="20" t="s">
        <v>198</v>
      </c>
      <c r="AG22" s="20" t="s">
        <v>199</v>
      </c>
      <c r="AH22" s="20" t="s">
        <v>200</v>
      </c>
      <c r="AI22" s="20" t="s">
        <v>201</v>
      </c>
      <c r="BB22" s="20" t="s">
        <v>202</v>
      </c>
      <c r="BC22" s="20" t="s">
        <v>203</v>
      </c>
      <c r="BD22" s="20" t="s">
        <v>204</v>
      </c>
      <c r="BE22" s="20" t="s">
        <v>205</v>
      </c>
      <c r="BF22" s="20" t="s">
        <v>206</v>
      </c>
      <c r="BG22" s="20" t="s">
        <v>207</v>
      </c>
      <c r="BH22" s="20" t="s">
        <v>208</v>
      </c>
      <c r="CA22" t="s">
        <v>209</v>
      </c>
      <c r="CB22" t="s">
        <v>210</v>
      </c>
      <c r="CC22" t="s">
        <v>211</v>
      </c>
      <c r="CD22" t="s">
        <v>212</v>
      </c>
      <c r="CE22" t="s">
        <v>213</v>
      </c>
      <c r="CF22" t="s">
        <v>214</v>
      </c>
      <c r="CG22" t="s">
        <v>215</v>
      </c>
    </row>
    <row r="23" spans="1:85" x14ac:dyDescent="0.25">
      <c r="A23">
        <v>19</v>
      </c>
      <c r="B23" t="b">
        <v>1</v>
      </c>
      <c r="C23">
        <v>0</v>
      </c>
      <c r="D23" t="s">
        <v>189</v>
      </c>
      <c r="E23">
        <f>'SW CC grad'!$T$4</f>
        <v>93.6</v>
      </c>
      <c r="F23" t="s">
        <v>188</v>
      </c>
      <c r="G23" t="s">
        <v>194</v>
      </c>
      <c r="H23" s="20" t="s">
        <v>191</v>
      </c>
      <c r="I23" s="20" t="s">
        <v>192</v>
      </c>
      <c r="J23" s="20" t="s">
        <v>193</v>
      </c>
      <c r="K23" s="20" t="s">
        <v>193</v>
      </c>
      <c r="L23" s="20" t="s">
        <v>190</v>
      </c>
      <c r="M23">
        <v>7</v>
      </c>
      <c r="N23" t="b">
        <v>1</v>
      </c>
      <c r="O23" t="b">
        <v>0</v>
      </c>
      <c r="P23">
        <v>31</v>
      </c>
      <c r="Q23">
        <v>18</v>
      </c>
      <c r="R23">
        <v>1</v>
      </c>
      <c r="S23">
        <v>0</v>
      </c>
      <c r="T23" t="s">
        <v>232</v>
      </c>
      <c r="U23" s="20" t="s">
        <v>190</v>
      </c>
      <c r="W23">
        <v>0</v>
      </c>
      <c r="X23">
        <v>0</v>
      </c>
      <c r="Y23">
        <v>0</v>
      </c>
      <c r="Z23">
        <v>1</v>
      </c>
      <c r="AA23" t="b">
        <v>1</v>
      </c>
      <c r="AC23" s="20" t="s">
        <v>195</v>
      </c>
      <c r="AD23" s="20" t="s">
        <v>196</v>
      </c>
      <c r="AE23" s="20" t="s">
        <v>197</v>
      </c>
      <c r="AF23" s="20" t="s">
        <v>198</v>
      </c>
      <c r="AG23" s="20" t="s">
        <v>199</v>
      </c>
      <c r="AH23" s="20" t="s">
        <v>200</v>
      </c>
      <c r="AI23" s="20" t="s">
        <v>201</v>
      </c>
      <c r="BB23" s="20" t="s">
        <v>202</v>
      </c>
      <c r="BC23" s="20" t="s">
        <v>203</v>
      </c>
      <c r="BD23" s="20" t="s">
        <v>204</v>
      </c>
      <c r="BE23" s="20" t="s">
        <v>205</v>
      </c>
      <c r="BF23" s="20" t="s">
        <v>206</v>
      </c>
      <c r="BG23" s="20" t="s">
        <v>207</v>
      </c>
      <c r="BH23" s="20" t="s">
        <v>208</v>
      </c>
      <c r="CA23" t="s">
        <v>209</v>
      </c>
      <c r="CB23" t="s">
        <v>210</v>
      </c>
      <c r="CC23" t="s">
        <v>211</v>
      </c>
      <c r="CD23" t="s">
        <v>212</v>
      </c>
      <c r="CE23" t="s">
        <v>213</v>
      </c>
      <c r="CF23" t="s">
        <v>214</v>
      </c>
      <c r="CG23" t="s">
        <v>215</v>
      </c>
    </row>
    <row r="24" spans="1:85" x14ac:dyDescent="0.25">
      <c r="A24">
        <v>20</v>
      </c>
      <c r="B24" t="b">
        <v>1</v>
      </c>
      <c r="C24">
        <v>0</v>
      </c>
      <c r="D24" t="s">
        <v>189</v>
      </c>
      <c r="E24">
        <f>'SW CC grad'!$U$4</f>
        <v>93.6</v>
      </c>
      <c r="F24" t="s">
        <v>188</v>
      </c>
      <c r="G24" t="s">
        <v>194</v>
      </c>
      <c r="H24" s="20" t="s">
        <v>191</v>
      </c>
      <c r="I24" s="20" t="s">
        <v>192</v>
      </c>
      <c r="J24" s="20" t="s">
        <v>193</v>
      </c>
      <c r="K24" s="20" t="s">
        <v>193</v>
      </c>
      <c r="L24" s="20" t="s">
        <v>190</v>
      </c>
      <c r="M24">
        <v>7</v>
      </c>
      <c r="N24" t="b">
        <v>1</v>
      </c>
      <c r="O24" t="b">
        <v>0</v>
      </c>
      <c r="P24">
        <v>31</v>
      </c>
      <c r="Q24">
        <v>19</v>
      </c>
      <c r="R24">
        <v>1</v>
      </c>
      <c r="S24">
        <v>0</v>
      </c>
      <c r="T24" t="s">
        <v>233</v>
      </c>
      <c r="U24" s="20" t="s">
        <v>190</v>
      </c>
      <c r="W24">
        <v>0</v>
      </c>
      <c r="X24">
        <v>0</v>
      </c>
      <c r="Y24">
        <v>0</v>
      </c>
      <c r="Z24">
        <v>1</v>
      </c>
      <c r="AA24" t="b">
        <v>1</v>
      </c>
      <c r="AC24" s="20" t="s">
        <v>195</v>
      </c>
      <c r="AD24" s="20" t="s">
        <v>196</v>
      </c>
      <c r="AE24" s="20" t="s">
        <v>197</v>
      </c>
      <c r="AF24" s="20" t="s">
        <v>198</v>
      </c>
      <c r="AG24" s="20" t="s">
        <v>199</v>
      </c>
      <c r="AH24" s="20" t="s">
        <v>200</v>
      </c>
      <c r="AI24" s="20" t="s">
        <v>201</v>
      </c>
      <c r="BB24" s="20" t="s">
        <v>202</v>
      </c>
      <c r="BC24" s="20" t="s">
        <v>203</v>
      </c>
      <c r="BD24" s="20" t="s">
        <v>204</v>
      </c>
      <c r="BE24" s="20" t="s">
        <v>205</v>
      </c>
      <c r="BF24" s="20" t="s">
        <v>206</v>
      </c>
      <c r="BG24" s="20" t="s">
        <v>207</v>
      </c>
      <c r="BH24" s="20" t="s">
        <v>208</v>
      </c>
      <c r="CA24" t="s">
        <v>209</v>
      </c>
      <c r="CB24" t="s">
        <v>210</v>
      </c>
      <c r="CC24" t="s">
        <v>211</v>
      </c>
      <c r="CD24" t="s">
        <v>212</v>
      </c>
      <c r="CE24" t="s">
        <v>213</v>
      </c>
      <c r="CF24" t="s">
        <v>214</v>
      </c>
      <c r="CG24" t="s">
        <v>215</v>
      </c>
    </row>
    <row r="25" spans="1:85" x14ac:dyDescent="0.25">
      <c r="A25">
        <v>21</v>
      </c>
      <c r="B25" t="b">
        <v>1</v>
      </c>
      <c r="C25">
        <v>0</v>
      </c>
      <c r="D25" t="s">
        <v>189</v>
      </c>
      <c r="E25">
        <f>'SW CC grad'!$V$4</f>
        <v>93.6</v>
      </c>
      <c r="F25" t="s">
        <v>188</v>
      </c>
      <c r="G25" t="s">
        <v>194</v>
      </c>
      <c r="H25" s="20" t="s">
        <v>191</v>
      </c>
      <c r="I25" s="20" t="s">
        <v>192</v>
      </c>
      <c r="J25" s="20" t="s">
        <v>193</v>
      </c>
      <c r="K25" s="20" t="s">
        <v>193</v>
      </c>
      <c r="L25" s="20" t="s">
        <v>190</v>
      </c>
      <c r="M25">
        <v>7</v>
      </c>
      <c r="N25" t="b">
        <v>1</v>
      </c>
      <c r="O25" t="b">
        <v>0</v>
      </c>
      <c r="P25">
        <v>31</v>
      </c>
      <c r="Q25">
        <v>20</v>
      </c>
      <c r="R25">
        <v>1</v>
      </c>
      <c r="S25">
        <v>0</v>
      </c>
      <c r="T25" t="s">
        <v>234</v>
      </c>
      <c r="U25" s="20" t="s">
        <v>190</v>
      </c>
      <c r="W25">
        <v>0</v>
      </c>
      <c r="X25">
        <v>0</v>
      </c>
      <c r="Y25">
        <v>0</v>
      </c>
      <c r="Z25">
        <v>1</v>
      </c>
      <c r="AA25" t="b">
        <v>1</v>
      </c>
      <c r="AC25" s="20" t="s">
        <v>195</v>
      </c>
      <c r="AD25" s="20" t="s">
        <v>196</v>
      </c>
      <c r="AE25" s="20" t="s">
        <v>197</v>
      </c>
      <c r="AF25" s="20" t="s">
        <v>198</v>
      </c>
      <c r="AG25" s="20" t="s">
        <v>199</v>
      </c>
      <c r="AH25" s="20" t="s">
        <v>200</v>
      </c>
      <c r="AI25" s="20" t="s">
        <v>201</v>
      </c>
      <c r="BB25" s="20" t="s">
        <v>202</v>
      </c>
      <c r="BC25" s="20" t="s">
        <v>203</v>
      </c>
      <c r="BD25" s="20" t="s">
        <v>204</v>
      </c>
      <c r="BE25" s="20" t="s">
        <v>205</v>
      </c>
      <c r="BF25" s="20" t="s">
        <v>206</v>
      </c>
      <c r="BG25" s="20" t="s">
        <v>207</v>
      </c>
      <c r="BH25" s="20" t="s">
        <v>208</v>
      </c>
      <c r="CA25" t="s">
        <v>209</v>
      </c>
      <c r="CB25" t="s">
        <v>210</v>
      </c>
      <c r="CC25" t="s">
        <v>211</v>
      </c>
      <c r="CD25" t="s">
        <v>212</v>
      </c>
      <c r="CE25" t="s">
        <v>213</v>
      </c>
      <c r="CF25" t="s">
        <v>214</v>
      </c>
      <c r="CG25" t="s">
        <v>215</v>
      </c>
    </row>
    <row r="26" spans="1:85" x14ac:dyDescent="0.25">
      <c r="A26">
        <v>22</v>
      </c>
      <c r="B26" t="b">
        <v>1</v>
      </c>
      <c r="C26">
        <v>0</v>
      </c>
      <c r="D26" t="s">
        <v>189</v>
      </c>
      <c r="E26">
        <f>'SW CC grad'!$W$4</f>
        <v>93.6</v>
      </c>
      <c r="F26" t="s">
        <v>188</v>
      </c>
      <c r="G26" t="s">
        <v>194</v>
      </c>
      <c r="H26" s="20" t="s">
        <v>191</v>
      </c>
      <c r="I26" s="20" t="s">
        <v>192</v>
      </c>
      <c r="J26" s="20" t="s">
        <v>193</v>
      </c>
      <c r="K26" s="20" t="s">
        <v>193</v>
      </c>
      <c r="L26" s="20" t="s">
        <v>190</v>
      </c>
      <c r="M26">
        <v>7</v>
      </c>
      <c r="N26" t="b">
        <v>1</v>
      </c>
      <c r="O26" t="b">
        <v>0</v>
      </c>
      <c r="P26">
        <v>31</v>
      </c>
      <c r="Q26">
        <v>21</v>
      </c>
      <c r="R26">
        <v>1</v>
      </c>
      <c r="S26">
        <v>0</v>
      </c>
      <c r="T26" t="s">
        <v>235</v>
      </c>
      <c r="U26" s="20" t="s">
        <v>190</v>
      </c>
      <c r="W26">
        <v>0</v>
      </c>
      <c r="X26">
        <v>0</v>
      </c>
      <c r="Y26">
        <v>0</v>
      </c>
      <c r="Z26">
        <v>1</v>
      </c>
      <c r="AA26" t="b">
        <v>1</v>
      </c>
      <c r="AC26" s="20" t="s">
        <v>195</v>
      </c>
      <c r="AD26" s="20" t="s">
        <v>196</v>
      </c>
      <c r="AE26" s="20" t="s">
        <v>197</v>
      </c>
      <c r="AF26" s="20" t="s">
        <v>198</v>
      </c>
      <c r="AG26" s="20" t="s">
        <v>199</v>
      </c>
      <c r="AH26" s="20" t="s">
        <v>200</v>
      </c>
      <c r="AI26" s="20" t="s">
        <v>201</v>
      </c>
      <c r="BB26" s="20" t="s">
        <v>202</v>
      </c>
      <c r="BC26" s="20" t="s">
        <v>203</v>
      </c>
      <c r="BD26" s="20" t="s">
        <v>204</v>
      </c>
      <c r="BE26" s="20" t="s">
        <v>205</v>
      </c>
      <c r="BF26" s="20" t="s">
        <v>206</v>
      </c>
      <c r="BG26" s="20" t="s">
        <v>207</v>
      </c>
      <c r="BH26" s="20" t="s">
        <v>208</v>
      </c>
      <c r="CA26" t="s">
        <v>209</v>
      </c>
      <c r="CB26" t="s">
        <v>210</v>
      </c>
      <c r="CC26" t="s">
        <v>211</v>
      </c>
      <c r="CD26" t="s">
        <v>212</v>
      </c>
      <c r="CE26" t="s">
        <v>213</v>
      </c>
      <c r="CF26" t="s">
        <v>214</v>
      </c>
      <c r="CG26" t="s">
        <v>215</v>
      </c>
    </row>
    <row r="27" spans="1:85" x14ac:dyDescent="0.25">
      <c r="A27">
        <v>23</v>
      </c>
      <c r="B27" t="b">
        <v>1</v>
      </c>
      <c r="C27">
        <v>0</v>
      </c>
      <c r="D27" t="s">
        <v>189</v>
      </c>
      <c r="E27">
        <f>'SW CC grad'!$X$4</f>
        <v>93.6</v>
      </c>
      <c r="F27" t="s">
        <v>188</v>
      </c>
      <c r="G27" t="s">
        <v>194</v>
      </c>
      <c r="H27" s="20" t="s">
        <v>191</v>
      </c>
      <c r="I27" s="20" t="s">
        <v>192</v>
      </c>
      <c r="J27" s="20" t="s">
        <v>193</v>
      </c>
      <c r="K27" s="20" t="s">
        <v>193</v>
      </c>
      <c r="L27" s="20" t="s">
        <v>190</v>
      </c>
      <c r="M27">
        <v>7</v>
      </c>
      <c r="N27" t="b">
        <v>1</v>
      </c>
      <c r="O27" t="b">
        <v>0</v>
      </c>
      <c r="P27">
        <v>31</v>
      </c>
      <c r="Q27">
        <v>22</v>
      </c>
      <c r="R27">
        <v>1</v>
      </c>
      <c r="S27">
        <v>0</v>
      </c>
      <c r="T27" t="s">
        <v>236</v>
      </c>
      <c r="U27" s="20" t="s">
        <v>190</v>
      </c>
      <c r="W27">
        <v>0</v>
      </c>
      <c r="X27">
        <v>0</v>
      </c>
      <c r="Y27">
        <v>0</v>
      </c>
      <c r="Z27">
        <v>1</v>
      </c>
      <c r="AA27" t="b">
        <v>1</v>
      </c>
      <c r="AC27" s="20" t="s">
        <v>195</v>
      </c>
      <c r="AD27" s="20" t="s">
        <v>196</v>
      </c>
      <c r="AE27" s="20" t="s">
        <v>197</v>
      </c>
      <c r="AF27" s="20" t="s">
        <v>198</v>
      </c>
      <c r="AG27" s="20" t="s">
        <v>199</v>
      </c>
      <c r="AH27" s="20" t="s">
        <v>200</v>
      </c>
      <c r="AI27" s="20" t="s">
        <v>201</v>
      </c>
      <c r="BB27" s="20" t="s">
        <v>202</v>
      </c>
      <c r="BC27" s="20" t="s">
        <v>203</v>
      </c>
      <c r="BD27" s="20" t="s">
        <v>204</v>
      </c>
      <c r="BE27" s="20" t="s">
        <v>205</v>
      </c>
      <c r="BF27" s="20" t="s">
        <v>206</v>
      </c>
      <c r="BG27" s="20" t="s">
        <v>207</v>
      </c>
      <c r="BH27" s="20" t="s">
        <v>208</v>
      </c>
      <c r="CA27" t="s">
        <v>209</v>
      </c>
      <c r="CB27" t="s">
        <v>210</v>
      </c>
      <c r="CC27" t="s">
        <v>211</v>
      </c>
      <c r="CD27" t="s">
        <v>212</v>
      </c>
      <c r="CE27" t="s">
        <v>213</v>
      </c>
      <c r="CF27" t="s">
        <v>214</v>
      </c>
      <c r="CG27" t="s">
        <v>215</v>
      </c>
    </row>
    <row r="28" spans="1:85" x14ac:dyDescent="0.25">
      <c r="A28">
        <v>24</v>
      </c>
      <c r="B28" t="b">
        <v>1</v>
      </c>
      <c r="C28">
        <v>0</v>
      </c>
      <c r="D28" t="s">
        <v>189</v>
      </c>
      <c r="E28">
        <f>'SW CC grad'!$Y$4</f>
        <v>93.6</v>
      </c>
      <c r="F28" t="s">
        <v>188</v>
      </c>
      <c r="G28" t="s">
        <v>194</v>
      </c>
      <c r="H28" s="20" t="s">
        <v>191</v>
      </c>
      <c r="I28" s="20" t="s">
        <v>192</v>
      </c>
      <c r="J28" s="20" t="s">
        <v>193</v>
      </c>
      <c r="K28" s="20" t="s">
        <v>193</v>
      </c>
      <c r="L28" s="20" t="s">
        <v>190</v>
      </c>
      <c r="M28">
        <v>7</v>
      </c>
      <c r="N28" t="b">
        <v>1</v>
      </c>
      <c r="O28" t="b">
        <v>0</v>
      </c>
      <c r="P28">
        <v>31</v>
      </c>
      <c r="Q28">
        <v>23</v>
      </c>
      <c r="R28">
        <v>1</v>
      </c>
      <c r="S28">
        <v>0</v>
      </c>
      <c r="T28" t="s">
        <v>237</v>
      </c>
      <c r="U28" s="20" t="s">
        <v>190</v>
      </c>
      <c r="W28">
        <v>0</v>
      </c>
      <c r="X28">
        <v>0</v>
      </c>
      <c r="Y28">
        <v>0</v>
      </c>
      <c r="Z28">
        <v>1</v>
      </c>
      <c r="AA28" t="b">
        <v>1</v>
      </c>
      <c r="AC28" s="20" t="s">
        <v>195</v>
      </c>
      <c r="AD28" s="20" t="s">
        <v>196</v>
      </c>
      <c r="AE28" s="20" t="s">
        <v>197</v>
      </c>
      <c r="AF28" s="20" t="s">
        <v>198</v>
      </c>
      <c r="AG28" s="20" t="s">
        <v>199</v>
      </c>
      <c r="AH28" s="20" t="s">
        <v>200</v>
      </c>
      <c r="AI28" s="20" t="s">
        <v>201</v>
      </c>
      <c r="BB28" s="20" t="s">
        <v>202</v>
      </c>
      <c r="BC28" s="20" t="s">
        <v>203</v>
      </c>
      <c r="BD28" s="20" t="s">
        <v>204</v>
      </c>
      <c r="BE28" s="20" t="s">
        <v>205</v>
      </c>
      <c r="BF28" s="20" t="s">
        <v>206</v>
      </c>
      <c r="BG28" s="20" t="s">
        <v>207</v>
      </c>
      <c r="BH28" s="20" t="s">
        <v>208</v>
      </c>
      <c r="CA28" t="s">
        <v>209</v>
      </c>
      <c r="CB28" t="s">
        <v>210</v>
      </c>
      <c r="CC28" t="s">
        <v>211</v>
      </c>
      <c r="CD28" t="s">
        <v>212</v>
      </c>
      <c r="CE28" t="s">
        <v>213</v>
      </c>
      <c r="CF28" t="s">
        <v>214</v>
      </c>
      <c r="CG28" t="s">
        <v>215</v>
      </c>
    </row>
    <row r="29" spans="1:85" x14ac:dyDescent="0.25">
      <c r="A29">
        <v>25</v>
      </c>
      <c r="B29" t="b">
        <v>1</v>
      </c>
      <c r="C29">
        <v>0</v>
      </c>
      <c r="D29" t="s">
        <v>189</v>
      </c>
      <c r="E29">
        <f>'SW CC grad'!$Z$4</f>
        <v>93.6</v>
      </c>
      <c r="F29" t="s">
        <v>188</v>
      </c>
      <c r="G29" t="s">
        <v>194</v>
      </c>
      <c r="H29" s="20" t="s">
        <v>191</v>
      </c>
      <c r="I29" s="20" t="s">
        <v>192</v>
      </c>
      <c r="J29" s="20" t="s">
        <v>193</v>
      </c>
      <c r="K29" s="20" t="s">
        <v>193</v>
      </c>
      <c r="L29" s="20" t="s">
        <v>190</v>
      </c>
      <c r="M29">
        <v>7</v>
      </c>
      <c r="N29" t="b">
        <v>1</v>
      </c>
      <c r="O29" t="b">
        <v>0</v>
      </c>
      <c r="P29">
        <v>31</v>
      </c>
      <c r="Q29">
        <v>24</v>
      </c>
      <c r="R29">
        <v>1</v>
      </c>
      <c r="S29">
        <v>0</v>
      </c>
      <c r="T29" t="s">
        <v>238</v>
      </c>
      <c r="U29" s="20" t="s">
        <v>190</v>
      </c>
      <c r="W29">
        <v>0</v>
      </c>
      <c r="X29">
        <v>0</v>
      </c>
      <c r="Y29">
        <v>0</v>
      </c>
      <c r="Z29">
        <v>1</v>
      </c>
      <c r="AA29" t="b">
        <v>1</v>
      </c>
      <c r="AC29" s="20" t="s">
        <v>195</v>
      </c>
      <c r="AD29" s="20" t="s">
        <v>196</v>
      </c>
      <c r="AE29" s="20" t="s">
        <v>197</v>
      </c>
      <c r="AF29" s="20" t="s">
        <v>198</v>
      </c>
      <c r="AG29" s="20" t="s">
        <v>199</v>
      </c>
      <c r="AH29" s="20" t="s">
        <v>200</v>
      </c>
      <c r="AI29" s="20" t="s">
        <v>201</v>
      </c>
      <c r="BB29" s="20" t="s">
        <v>202</v>
      </c>
      <c r="BC29" s="20" t="s">
        <v>203</v>
      </c>
      <c r="BD29" s="20" t="s">
        <v>204</v>
      </c>
      <c r="BE29" s="20" t="s">
        <v>205</v>
      </c>
      <c r="BF29" s="20" t="s">
        <v>206</v>
      </c>
      <c r="BG29" s="20" t="s">
        <v>207</v>
      </c>
      <c r="BH29" s="20" t="s">
        <v>208</v>
      </c>
      <c r="CA29" t="s">
        <v>209</v>
      </c>
      <c r="CB29" t="s">
        <v>210</v>
      </c>
      <c r="CC29" t="s">
        <v>211</v>
      </c>
      <c r="CD29" t="s">
        <v>212</v>
      </c>
      <c r="CE29" t="s">
        <v>213</v>
      </c>
      <c r="CF29" t="s">
        <v>214</v>
      </c>
      <c r="CG29" t="s">
        <v>215</v>
      </c>
    </row>
    <row r="30" spans="1:85" x14ac:dyDescent="0.25">
      <c r="A30">
        <v>26</v>
      </c>
      <c r="B30" t="b">
        <v>1</v>
      </c>
      <c r="C30">
        <v>0</v>
      </c>
      <c r="D30" t="s">
        <v>189</v>
      </c>
      <c r="E30">
        <f>'SW CC grad'!$AA$4</f>
        <v>93.6</v>
      </c>
      <c r="F30" t="s">
        <v>188</v>
      </c>
      <c r="G30" t="s">
        <v>194</v>
      </c>
      <c r="H30" s="20" t="s">
        <v>191</v>
      </c>
      <c r="I30" s="20" t="s">
        <v>192</v>
      </c>
      <c r="J30" s="20" t="s">
        <v>193</v>
      </c>
      <c r="K30" s="20" t="s">
        <v>193</v>
      </c>
      <c r="L30" s="20" t="s">
        <v>190</v>
      </c>
      <c r="M30">
        <v>7</v>
      </c>
      <c r="N30" t="b">
        <v>1</v>
      </c>
      <c r="O30" t="b">
        <v>0</v>
      </c>
      <c r="P30">
        <v>31</v>
      </c>
      <c r="Q30">
        <v>25</v>
      </c>
      <c r="R30">
        <v>1</v>
      </c>
      <c r="S30">
        <v>0</v>
      </c>
      <c r="T30" t="s">
        <v>239</v>
      </c>
      <c r="U30" s="20" t="s">
        <v>190</v>
      </c>
      <c r="W30">
        <v>0</v>
      </c>
      <c r="X30">
        <v>0</v>
      </c>
      <c r="Y30">
        <v>0</v>
      </c>
      <c r="Z30">
        <v>1</v>
      </c>
      <c r="AA30" t="b">
        <v>1</v>
      </c>
      <c r="AC30" s="20" t="s">
        <v>195</v>
      </c>
      <c r="AD30" s="20" t="s">
        <v>196</v>
      </c>
      <c r="AE30" s="20" t="s">
        <v>197</v>
      </c>
      <c r="AF30" s="20" t="s">
        <v>198</v>
      </c>
      <c r="AG30" s="20" t="s">
        <v>199</v>
      </c>
      <c r="AH30" s="20" t="s">
        <v>200</v>
      </c>
      <c r="AI30" s="20" t="s">
        <v>201</v>
      </c>
      <c r="BB30" s="20" t="s">
        <v>202</v>
      </c>
      <c r="BC30" s="20" t="s">
        <v>203</v>
      </c>
      <c r="BD30" s="20" t="s">
        <v>204</v>
      </c>
      <c r="BE30" s="20" t="s">
        <v>205</v>
      </c>
      <c r="BF30" s="20" t="s">
        <v>206</v>
      </c>
      <c r="BG30" s="20" t="s">
        <v>207</v>
      </c>
      <c r="BH30" s="20" t="s">
        <v>208</v>
      </c>
      <c r="CA30" t="s">
        <v>209</v>
      </c>
      <c r="CB30" t="s">
        <v>210</v>
      </c>
      <c r="CC30" t="s">
        <v>211</v>
      </c>
      <c r="CD30" t="s">
        <v>212</v>
      </c>
      <c r="CE30" t="s">
        <v>213</v>
      </c>
      <c r="CF30" t="s">
        <v>214</v>
      </c>
      <c r="CG30" t="s">
        <v>215</v>
      </c>
    </row>
    <row r="31" spans="1:85" x14ac:dyDescent="0.25">
      <c r="A31">
        <v>27</v>
      </c>
      <c r="B31" t="b">
        <v>1</v>
      </c>
      <c r="C31">
        <v>0</v>
      </c>
      <c r="D31" t="s">
        <v>189</v>
      </c>
      <c r="E31">
        <f>'SW CC grad'!$AB$4</f>
        <v>93.6</v>
      </c>
      <c r="F31" t="s">
        <v>188</v>
      </c>
      <c r="G31" t="s">
        <v>194</v>
      </c>
      <c r="H31" s="20" t="s">
        <v>191</v>
      </c>
      <c r="I31" s="20" t="s">
        <v>192</v>
      </c>
      <c r="J31" s="20" t="s">
        <v>193</v>
      </c>
      <c r="K31" s="20" t="s">
        <v>193</v>
      </c>
      <c r="L31" s="20" t="s">
        <v>190</v>
      </c>
      <c r="M31">
        <v>7</v>
      </c>
      <c r="N31" t="b">
        <v>1</v>
      </c>
      <c r="O31" t="b">
        <v>0</v>
      </c>
      <c r="P31">
        <v>31</v>
      </c>
      <c r="Q31">
        <v>26</v>
      </c>
      <c r="R31">
        <v>1</v>
      </c>
      <c r="S31">
        <v>0</v>
      </c>
      <c r="T31" t="s">
        <v>240</v>
      </c>
      <c r="U31" s="20" t="s">
        <v>190</v>
      </c>
      <c r="W31">
        <v>0</v>
      </c>
      <c r="X31">
        <v>0</v>
      </c>
      <c r="Y31">
        <v>0</v>
      </c>
      <c r="Z31">
        <v>1</v>
      </c>
      <c r="AA31" t="b">
        <v>1</v>
      </c>
      <c r="AC31" s="20" t="s">
        <v>195</v>
      </c>
      <c r="AD31" s="20" t="s">
        <v>196</v>
      </c>
      <c r="AE31" s="20" t="s">
        <v>197</v>
      </c>
      <c r="AF31" s="20" t="s">
        <v>198</v>
      </c>
      <c r="AG31" s="20" t="s">
        <v>199</v>
      </c>
      <c r="AH31" s="20" t="s">
        <v>200</v>
      </c>
      <c r="AI31" s="20" t="s">
        <v>201</v>
      </c>
      <c r="BB31" s="20" t="s">
        <v>202</v>
      </c>
      <c r="BC31" s="20" t="s">
        <v>203</v>
      </c>
      <c r="BD31" s="20" t="s">
        <v>204</v>
      </c>
      <c r="BE31" s="20" t="s">
        <v>205</v>
      </c>
      <c r="BF31" s="20" t="s">
        <v>206</v>
      </c>
      <c r="BG31" s="20" t="s">
        <v>207</v>
      </c>
      <c r="BH31" s="20" t="s">
        <v>208</v>
      </c>
      <c r="CA31" t="s">
        <v>209</v>
      </c>
      <c r="CB31" t="s">
        <v>210</v>
      </c>
      <c r="CC31" t="s">
        <v>211</v>
      </c>
      <c r="CD31" t="s">
        <v>212</v>
      </c>
      <c r="CE31" t="s">
        <v>213</v>
      </c>
      <c r="CF31" t="s">
        <v>214</v>
      </c>
      <c r="CG31" t="s">
        <v>215</v>
      </c>
    </row>
    <row r="32" spans="1:85" x14ac:dyDescent="0.25">
      <c r="A32">
        <v>28</v>
      </c>
      <c r="B32" t="b">
        <v>1</v>
      </c>
      <c r="C32">
        <v>0</v>
      </c>
      <c r="D32" t="s">
        <v>189</v>
      </c>
      <c r="E32">
        <f>'SW CC grad'!$AC$4</f>
        <v>93.6</v>
      </c>
      <c r="F32" t="s">
        <v>188</v>
      </c>
      <c r="G32" t="s">
        <v>194</v>
      </c>
      <c r="H32" s="20" t="s">
        <v>191</v>
      </c>
      <c r="I32" s="20" t="s">
        <v>192</v>
      </c>
      <c r="J32" s="20" t="s">
        <v>193</v>
      </c>
      <c r="K32" s="20" t="s">
        <v>193</v>
      </c>
      <c r="L32" s="20" t="s">
        <v>190</v>
      </c>
      <c r="M32">
        <v>7</v>
      </c>
      <c r="N32" t="b">
        <v>1</v>
      </c>
      <c r="O32" t="b">
        <v>0</v>
      </c>
      <c r="P32">
        <v>31</v>
      </c>
      <c r="Q32">
        <v>27</v>
      </c>
      <c r="R32">
        <v>1</v>
      </c>
      <c r="S32">
        <v>0</v>
      </c>
      <c r="T32" t="s">
        <v>241</v>
      </c>
      <c r="U32" s="20" t="s">
        <v>190</v>
      </c>
      <c r="W32">
        <v>0</v>
      </c>
      <c r="X32">
        <v>0</v>
      </c>
      <c r="Y32">
        <v>0</v>
      </c>
      <c r="Z32">
        <v>1</v>
      </c>
      <c r="AA32" t="b">
        <v>1</v>
      </c>
      <c r="AC32" s="20" t="s">
        <v>195</v>
      </c>
      <c r="AD32" s="20" t="s">
        <v>196</v>
      </c>
      <c r="AE32" s="20" t="s">
        <v>197</v>
      </c>
      <c r="AF32" s="20" t="s">
        <v>198</v>
      </c>
      <c r="AG32" s="20" t="s">
        <v>199</v>
      </c>
      <c r="AH32" s="20" t="s">
        <v>200</v>
      </c>
      <c r="AI32" s="20" t="s">
        <v>201</v>
      </c>
      <c r="BB32" s="20" t="s">
        <v>202</v>
      </c>
      <c r="BC32" s="20" t="s">
        <v>203</v>
      </c>
      <c r="BD32" s="20" t="s">
        <v>204</v>
      </c>
      <c r="BE32" s="20" t="s">
        <v>205</v>
      </c>
      <c r="BF32" s="20" t="s">
        <v>206</v>
      </c>
      <c r="BG32" s="20" t="s">
        <v>207</v>
      </c>
      <c r="BH32" s="20" t="s">
        <v>208</v>
      </c>
      <c r="CA32" t="s">
        <v>209</v>
      </c>
      <c r="CB32" t="s">
        <v>210</v>
      </c>
      <c r="CC32" t="s">
        <v>211</v>
      </c>
      <c r="CD32" t="s">
        <v>212</v>
      </c>
      <c r="CE32" t="s">
        <v>213</v>
      </c>
      <c r="CF32" t="s">
        <v>214</v>
      </c>
      <c r="CG32" t="s">
        <v>215</v>
      </c>
    </row>
    <row r="33" spans="1:85" x14ac:dyDescent="0.25">
      <c r="A33">
        <v>29</v>
      </c>
      <c r="B33" t="b">
        <v>1</v>
      </c>
      <c r="C33">
        <v>0</v>
      </c>
      <c r="D33" t="s">
        <v>189</v>
      </c>
      <c r="E33">
        <f>'SW CC grad'!$AD$4</f>
        <v>93.6</v>
      </c>
      <c r="F33" t="s">
        <v>188</v>
      </c>
      <c r="G33" t="s">
        <v>194</v>
      </c>
      <c r="H33" s="20" t="s">
        <v>191</v>
      </c>
      <c r="I33" s="20" t="s">
        <v>192</v>
      </c>
      <c r="J33" s="20" t="s">
        <v>193</v>
      </c>
      <c r="K33" s="20" t="s">
        <v>193</v>
      </c>
      <c r="L33" s="20" t="s">
        <v>190</v>
      </c>
      <c r="M33">
        <v>7</v>
      </c>
      <c r="N33" t="b">
        <v>1</v>
      </c>
      <c r="O33" t="b">
        <v>0</v>
      </c>
      <c r="P33">
        <v>31</v>
      </c>
      <c r="Q33">
        <v>28</v>
      </c>
      <c r="R33">
        <v>1</v>
      </c>
      <c r="S33">
        <v>0</v>
      </c>
      <c r="T33" t="s">
        <v>242</v>
      </c>
      <c r="U33" s="20" t="s">
        <v>190</v>
      </c>
      <c r="W33">
        <v>0</v>
      </c>
      <c r="X33">
        <v>0</v>
      </c>
      <c r="Y33">
        <v>0</v>
      </c>
      <c r="Z33">
        <v>1</v>
      </c>
      <c r="AA33" t="b">
        <v>1</v>
      </c>
      <c r="AC33" s="20" t="s">
        <v>195</v>
      </c>
      <c r="AD33" s="20" t="s">
        <v>196</v>
      </c>
      <c r="AE33" s="20" t="s">
        <v>197</v>
      </c>
      <c r="AF33" s="20" t="s">
        <v>198</v>
      </c>
      <c r="AG33" s="20" t="s">
        <v>199</v>
      </c>
      <c r="AH33" s="20" t="s">
        <v>200</v>
      </c>
      <c r="AI33" s="20" t="s">
        <v>201</v>
      </c>
      <c r="BB33" s="20" t="s">
        <v>202</v>
      </c>
      <c r="BC33" s="20" t="s">
        <v>203</v>
      </c>
      <c r="BD33" s="20" t="s">
        <v>204</v>
      </c>
      <c r="BE33" s="20" t="s">
        <v>205</v>
      </c>
      <c r="BF33" s="20" t="s">
        <v>206</v>
      </c>
      <c r="BG33" s="20" t="s">
        <v>207</v>
      </c>
      <c r="BH33" s="20" t="s">
        <v>208</v>
      </c>
      <c r="CA33" t="s">
        <v>209</v>
      </c>
      <c r="CB33" t="s">
        <v>210</v>
      </c>
      <c r="CC33" t="s">
        <v>211</v>
      </c>
      <c r="CD33" t="s">
        <v>212</v>
      </c>
      <c r="CE33" t="s">
        <v>213</v>
      </c>
      <c r="CF33" t="s">
        <v>214</v>
      </c>
      <c r="CG33" t="s">
        <v>215</v>
      </c>
    </row>
    <row r="34" spans="1:85" x14ac:dyDescent="0.25">
      <c r="A34">
        <v>30</v>
      </c>
      <c r="B34" t="b">
        <v>1</v>
      </c>
      <c r="C34">
        <v>0</v>
      </c>
      <c r="D34" t="s">
        <v>189</v>
      </c>
      <c r="E34">
        <f>'SW CC grad'!$AE$4</f>
        <v>93.6</v>
      </c>
      <c r="F34" t="s">
        <v>188</v>
      </c>
      <c r="G34" t="s">
        <v>194</v>
      </c>
      <c r="H34" s="20" t="s">
        <v>191</v>
      </c>
      <c r="I34" s="20" t="s">
        <v>192</v>
      </c>
      <c r="J34" s="20" t="s">
        <v>193</v>
      </c>
      <c r="K34" s="20" t="s">
        <v>193</v>
      </c>
      <c r="L34" s="20" t="s">
        <v>190</v>
      </c>
      <c r="M34">
        <v>7</v>
      </c>
      <c r="N34" t="b">
        <v>1</v>
      </c>
      <c r="O34" t="b">
        <v>0</v>
      </c>
      <c r="P34">
        <v>31</v>
      </c>
      <c r="Q34">
        <v>29</v>
      </c>
      <c r="R34">
        <v>1</v>
      </c>
      <c r="S34">
        <v>0</v>
      </c>
      <c r="T34" t="s">
        <v>243</v>
      </c>
      <c r="U34" s="20" t="s">
        <v>190</v>
      </c>
      <c r="W34">
        <v>0</v>
      </c>
      <c r="X34">
        <v>0</v>
      </c>
      <c r="Y34">
        <v>0</v>
      </c>
      <c r="Z34">
        <v>1</v>
      </c>
      <c r="AA34" t="b">
        <v>1</v>
      </c>
      <c r="AC34" s="20" t="s">
        <v>195</v>
      </c>
      <c r="AD34" s="20" t="s">
        <v>196</v>
      </c>
      <c r="AE34" s="20" t="s">
        <v>197</v>
      </c>
      <c r="AF34" s="20" t="s">
        <v>198</v>
      </c>
      <c r="AG34" s="20" t="s">
        <v>199</v>
      </c>
      <c r="AH34" s="20" t="s">
        <v>200</v>
      </c>
      <c r="AI34" s="20" t="s">
        <v>201</v>
      </c>
      <c r="BB34" s="20" t="s">
        <v>202</v>
      </c>
      <c r="BC34" s="20" t="s">
        <v>203</v>
      </c>
      <c r="BD34" s="20" t="s">
        <v>204</v>
      </c>
      <c r="BE34" s="20" t="s">
        <v>205</v>
      </c>
      <c r="BF34" s="20" t="s">
        <v>206</v>
      </c>
      <c r="BG34" s="20" t="s">
        <v>207</v>
      </c>
      <c r="BH34" s="20" t="s">
        <v>208</v>
      </c>
      <c r="CA34" t="s">
        <v>209</v>
      </c>
      <c r="CB34" t="s">
        <v>210</v>
      </c>
      <c r="CC34" t="s">
        <v>211</v>
      </c>
      <c r="CD34" t="s">
        <v>212</v>
      </c>
      <c r="CE34" t="s">
        <v>213</v>
      </c>
      <c r="CF34" t="s">
        <v>214</v>
      </c>
      <c r="CG34" t="s">
        <v>215</v>
      </c>
    </row>
    <row r="35" spans="1:85" x14ac:dyDescent="0.25">
      <c r="A35">
        <v>31</v>
      </c>
      <c r="B35" t="b">
        <v>1</v>
      </c>
      <c r="C35">
        <v>0</v>
      </c>
      <c r="D35" t="s">
        <v>189</v>
      </c>
      <c r="E35">
        <f>'SW CC grad'!$AF$4</f>
        <v>93.6</v>
      </c>
      <c r="F35" t="s">
        <v>188</v>
      </c>
      <c r="G35" t="s">
        <v>194</v>
      </c>
      <c r="H35" s="20" t="s">
        <v>191</v>
      </c>
      <c r="I35" s="20" t="s">
        <v>192</v>
      </c>
      <c r="J35" s="20" t="s">
        <v>193</v>
      </c>
      <c r="K35" s="20" t="s">
        <v>193</v>
      </c>
      <c r="L35" s="20" t="s">
        <v>190</v>
      </c>
      <c r="M35">
        <v>7</v>
      </c>
      <c r="N35" t="b">
        <v>1</v>
      </c>
      <c r="O35" t="b">
        <v>0</v>
      </c>
      <c r="P35">
        <v>31</v>
      </c>
      <c r="Q35">
        <v>30</v>
      </c>
      <c r="R35">
        <v>1</v>
      </c>
      <c r="S35">
        <v>0</v>
      </c>
      <c r="T35" t="s">
        <v>244</v>
      </c>
      <c r="U35" s="20" t="s">
        <v>190</v>
      </c>
      <c r="W35">
        <v>0</v>
      </c>
      <c r="X35">
        <v>0</v>
      </c>
      <c r="Y35">
        <v>0</v>
      </c>
      <c r="Z35">
        <v>1</v>
      </c>
      <c r="AA35" t="b">
        <v>1</v>
      </c>
      <c r="AC35" s="20" t="s">
        <v>195</v>
      </c>
      <c r="AD35" s="20" t="s">
        <v>196</v>
      </c>
      <c r="AE35" s="20" t="s">
        <v>197</v>
      </c>
      <c r="AF35" s="20" t="s">
        <v>198</v>
      </c>
      <c r="AG35" s="20" t="s">
        <v>199</v>
      </c>
      <c r="AH35" s="20" t="s">
        <v>200</v>
      </c>
      <c r="AI35" s="20" t="s">
        <v>201</v>
      </c>
      <c r="BB35" s="20" t="s">
        <v>202</v>
      </c>
      <c r="BC35" s="20" t="s">
        <v>203</v>
      </c>
      <c r="BD35" s="20" t="s">
        <v>204</v>
      </c>
      <c r="BE35" s="20" t="s">
        <v>205</v>
      </c>
      <c r="BF35" s="20" t="s">
        <v>206</v>
      </c>
      <c r="BG35" s="20" t="s">
        <v>207</v>
      </c>
      <c r="BH35" s="20" t="s">
        <v>208</v>
      </c>
      <c r="CA35" t="s">
        <v>209</v>
      </c>
      <c r="CB35" t="s">
        <v>210</v>
      </c>
      <c r="CC35" t="s">
        <v>211</v>
      </c>
      <c r="CD35" t="s">
        <v>212</v>
      </c>
      <c r="CE35" t="s">
        <v>213</v>
      </c>
      <c r="CF35" t="s">
        <v>214</v>
      </c>
      <c r="CG3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5"/>
  <sheetViews>
    <sheetView workbookViewId="0">
      <selection activeCell="B8" sqref="B8"/>
    </sheetView>
  </sheetViews>
  <sheetFormatPr defaultRowHeight="15" x14ac:dyDescent="0.25"/>
  <cols>
    <col min="1" max="1" width="16.42578125" bestFit="1" customWidth="1"/>
    <col min="2" max="2" width="15.5703125" bestFit="1" customWidth="1"/>
    <col min="3" max="8" width="13.5703125" bestFit="1" customWidth="1"/>
    <col min="9" max="32" width="11.85546875" bestFit="1" customWidth="1"/>
  </cols>
  <sheetData>
    <row r="1" spans="1:32" ht="60" x14ac:dyDescent="0.25">
      <c r="A1" s="12" t="s">
        <v>24</v>
      </c>
    </row>
    <row r="2" spans="1:32" x14ac:dyDescent="0.25">
      <c r="B2">
        <v>1995</v>
      </c>
      <c r="C2">
        <v>1996</v>
      </c>
      <c r="D2">
        <v>1997</v>
      </c>
      <c r="E2">
        <v>1998</v>
      </c>
      <c r="F2">
        <v>1999</v>
      </c>
      <c r="G2">
        <v>2000</v>
      </c>
      <c r="H2">
        <v>2001</v>
      </c>
      <c r="I2">
        <v>2002</v>
      </c>
      <c r="J2">
        <v>2003</v>
      </c>
      <c r="K2">
        <v>2004</v>
      </c>
      <c r="L2">
        <v>2005</v>
      </c>
      <c r="M2">
        <v>2006</v>
      </c>
      <c r="N2">
        <v>2007</v>
      </c>
      <c r="O2">
        <v>2008</v>
      </c>
      <c r="P2">
        <v>2009</v>
      </c>
      <c r="Q2">
        <v>2010</v>
      </c>
      <c r="R2">
        <v>2011</v>
      </c>
      <c r="S2">
        <v>2012</v>
      </c>
      <c r="T2">
        <v>2013</v>
      </c>
      <c r="U2">
        <v>2014</v>
      </c>
      <c r="V2">
        <v>2015</v>
      </c>
      <c r="W2">
        <v>2016</v>
      </c>
      <c r="X2">
        <v>2017</v>
      </c>
      <c r="Y2">
        <v>2018</v>
      </c>
      <c r="Z2">
        <v>2019</v>
      </c>
      <c r="AA2">
        <v>2020</v>
      </c>
      <c r="AB2">
        <v>2021</v>
      </c>
      <c r="AC2">
        <v>2022</v>
      </c>
      <c r="AD2">
        <v>2023</v>
      </c>
      <c r="AE2">
        <v>2024</v>
      </c>
      <c r="AF2">
        <v>2025</v>
      </c>
    </row>
    <row r="4" spans="1:32" x14ac:dyDescent="0.25">
      <c r="A4" t="s">
        <v>0</v>
      </c>
      <c r="B4" s="6">
        <f>Sheet2!$C3</f>
        <v>93.6</v>
      </c>
      <c r="C4" s="6">
        <f>Sheet2!$C3</f>
        <v>93.6</v>
      </c>
      <c r="D4" s="6">
        <f>Sheet2!$C3</f>
        <v>93.6</v>
      </c>
      <c r="E4" s="6">
        <f>Sheet2!$C3</f>
        <v>93.6</v>
      </c>
      <c r="F4" s="6">
        <f>Sheet2!$C3</f>
        <v>93.6</v>
      </c>
      <c r="G4" s="6">
        <f>Sheet2!$C3</f>
        <v>93.6</v>
      </c>
      <c r="H4" s="6">
        <f>Sheet2!$C3</f>
        <v>93.6</v>
      </c>
      <c r="I4" s="6">
        <f>Sheet2!$C3</f>
        <v>93.6</v>
      </c>
      <c r="J4" s="6">
        <f>Sheet2!$C3</f>
        <v>93.6</v>
      </c>
      <c r="K4" s="6">
        <f>Sheet2!$C3</f>
        <v>93.6</v>
      </c>
      <c r="L4" s="6">
        <f>Sheet2!$C3</f>
        <v>93.6</v>
      </c>
      <c r="M4" s="6">
        <f>Sheet2!$C3</f>
        <v>93.6</v>
      </c>
      <c r="N4" s="6">
        <f>Sheet2!$C3</f>
        <v>93.6</v>
      </c>
      <c r="O4" s="6">
        <f>Sheet2!$C3</f>
        <v>93.6</v>
      </c>
      <c r="P4" s="6">
        <f>Sheet2!$C3</f>
        <v>93.6</v>
      </c>
      <c r="Q4" s="6">
        <f>Sheet2!$C3</f>
        <v>93.6</v>
      </c>
      <c r="R4" s="6">
        <f>Sheet2!$C3</f>
        <v>93.6</v>
      </c>
      <c r="S4" s="6">
        <f>Sheet2!$C3</f>
        <v>93.6</v>
      </c>
      <c r="T4" s="6">
        <f>Sheet2!$C3</f>
        <v>93.6</v>
      </c>
      <c r="U4" s="6">
        <f>Sheet2!$C3</f>
        <v>93.6</v>
      </c>
      <c r="V4" s="6">
        <f>Sheet2!$C3</f>
        <v>93.6</v>
      </c>
      <c r="W4" s="6">
        <f>Sheet2!$C3</f>
        <v>93.6</v>
      </c>
      <c r="X4" s="6">
        <f>Sheet2!$C3</f>
        <v>93.6</v>
      </c>
      <c r="Y4" s="6">
        <f>Sheet2!$C3</f>
        <v>93.6</v>
      </c>
      <c r="Z4" s="6">
        <f>Sheet2!$C3</f>
        <v>93.6</v>
      </c>
      <c r="AA4" s="6">
        <f>Sheet2!$C3</f>
        <v>93.6</v>
      </c>
      <c r="AB4" s="6">
        <f>Sheet2!$C3</f>
        <v>93.6</v>
      </c>
      <c r="AC4" s="6">
        <f>Sheet2!$C3</f>
        <v>93.6</v>
      </c>
      <c r="AD4" s="6">
        <f>Sheet2!$C3</f>
        <v>93.6</v>
      </c>
      <c r="AE4" s="6">
        <f>Sheet2!$C3</f>
        <v>93.6</v>
      </c>
      <c r="AF4" s="6">
        <f>Sheet2!$C3</f>
        <v>93.6</v>
      </c>
    </row>
    <row r="5" spans="1:32" x14ac:dyDescent="0.25">
      <c r="A5" t="s">
        <v>9</v>
      </c>
      <c r="B5" s="3">
        <v>28.4</v>
      </c>
      <c r="C5" s="3">
        <v>28.4</v>
      </c>
      <c r="D5" s="3">
        <v>28.4</v>
      </c>
      <c r="E5" s="3">
        <v>28.4</v>
      </c>
      <c r="F5" s="3">
        <v>28.4</v>
      </c>
      <c r="G5" s="3">
        <v>28.4</v>
      </c>
      <c r="H5" s="3">
        <v>28.4</v>
      </c>
      <c r="I5" s="3">
        <v>28.4</v>
      </c>
      <c r="J5" s="3">
        <v>28.4</v>
      </c>
      <c r="K5" s="3">
        <v>28.4</v>
      </c>
      <c r="L5" s="3">
        <v>28.4</v>
      </c>
      <c r="M5" s="3">
        <v>28.4</v>
      </c>
      <c r="N5" s="3">
        <v>28.4</v>
      </c>
      <c r="O5" s="3">
        <v>28.4</v>
      </c>
      <c r="P5" s="3">
        <v>28.4</v>
      </c>
      <c r="Q5" s="3">
        <v>28.4</v>
      </c>
      <c r="R5" s="3">
        <v>28.4</v>
      </c>
      <c r="S5" s="3">
        <v>28.4</v>
      </c>
      <c r="T5" s="3">
        <v>28.4</v>
      </c>
      <c r="U5" s="3">
        <v>28.4</v>
      </c>
      <c r="V5" s="3">
        <v>28.4</v>
      </c>
      <c r="W5" s="3">
        <v>28.4</v>
      </c>
      <c r="X5" s="3">
        <v>28.4</v>
      </c>
      <c r="Y5" s="3">
        <v>28.4</v>
      </c>
      <c r="Z5" s="3">
        <v>28.4</v>
      </c>
      <c r="AA5" s="3">
        <v>28.4</v>
      </c>
      <c r="AB5" s="3">
        <v>28.4</v>
      </c>
      <c r="AC5" s="3">
        <v>28.4</v>
      </c>
      <c r="AD5" s="3">
        <v>28.4</v>
      </c>
      <c r="AE5" s="3">
        <v>28.4</v>
      </c>
      <c r="AF5" s="3">
        <v>28.4</v>
      </c>
    </row>
    <row r="6" spans="1:32" x14ac:dyDescent="0.25">
      <c r="A6" t="s">
        <v>20</v>
      </c>
      <c r="B6" s="4">
        <v>0</v>
      </c>
      <c r="C6" s="3">
        <v>0</v>
      </c>
      <c r="D6" s="3">
        <v>-0.5</v>
      </c>
      <c r="E6" s="3">
        <v>-1</v>
      </c>
      <c r="F6" s="3">
        <v>0</v>
      </c>
      <c r="G6" s="3">
        <v>-1</v>
      </c>
      <c r="H6" s="3">
        <v>0</v>
      </c>
      <c r="I6" s="3">
        <v>-1</v>
      </c>
      <c r="J6" s="3">
        <v>0</v>
      </c>
      <c r="K6" s="3">
        <v>-1</v>
      </c>
      <c r="L6" s="3">
        <v>-2</v>
      </c>
      <c r="M6" s="3">
        <v>-2.5</v>
      </c>
      <c r="N6" s="3">
        <v>-3</v>
      </c>
      <c r="O6" s="3">
        <v>-4</v>
      </c>
      <c r="P6" s="3">
        <v>-3</v>
      </c>
      <c r="Q6" s="3">
        <v>-3</v>
      </c>
      <c r="R6" s="3">
        <v>-4</v>
      </c>
      <c r="S6" s="3">
        <v>-3.5</v>
      </c>
      <c r="T6" s="3">
        <v>-2</v>
      </c>
      <c r="U6" s="3">
        <v>-1</v>
      </c>
      <c r="V6" s="3">
        <v>-3</v>
      </c>
      <c r="W6" s="3">
        <v>-4</v>
      </c>
      <c r="X6" s="3">
        <v>-2</v>
      </c>
      <c r="Y6" s="3">
        <v>-4</v>
      </c>
      <c r="Z6" s="3">
        <v>-5</v>
      </c>
      <c r="AA6" s="3">
        <v>-4</v>
      </c>
      <c r="AB6" s="3">
        <v>-4.5</v>
      </c>
      <c r="AC6" s="3">
        <v>-6</v>
      </c>
      <c r="AD6" s="3">
        <v>-7</v>
      </c>
      <c r="AE6" s="3">
        <v>-7</v>
      </c>
      <c r="AF6" s="3">
        <v>-7</v>
      </c>
    </row>
    <row r="7" spans="1:32" x14ac:dyDescent="0.25">
      <c r="A7" t="s">
        <v>8</v>
      </c>
      <c r="B7" s="3">
        <f>B5+B6</f>
        <v>28.4</v>
      </c>
      <c r="C7" s="3">
        <f t="shared" ref="C7:AF7" si="0">C5+C6</f>
        <v>28.4</v>
      </c>
      <c r="D7" s="3">
        <f t="shared" si="0"/>
        <v>27.9</v>
      </c>
      <c r="E7" s="3">
        <f t="shared" si="0"/>
        <v>27.4</v>
      </c>
      <c r="F7" s="3">
        <f t="shared" si="0"/>
        <v>28.4</v>
      </c>
      <c r="G7" s="3">
        <f t="shared" si="0"/>
        <v>27.4</v>
      </c>
      <c r="H7" s="3">
        <f t="shared" si="0"/>
        <v>28.4</v>
      </c>
      <c r="I7" s="3">
        <f t="shared" si="0"/>
        <v>27.4</v>
      </c>
      <c r="J7" s="3">
        <f t="shared" si="0"/>
        <v>28.4</v>
      </c>
      <c r="K7" s="3">
        <f t="shared" si="0"/>
        <v>27.4</v>
      </c>
      <c r="L7" s="3">
        <f t="shared" si="0"/>
        <v>26.4</v>
      </c>
      <c r="M7" s="3">
        <f t="shared" si="0"/>
        <v>25.9</v>
      </c>
      <c r="N7" s="3">
        <f t="shared" si="0"/>
        <v>25.4</v>
      </c>
      <c r="O7" s="3">
        <f t="shared" si="0"/>
        <v>24.4</v>
      </c>
      <c r="P7" s="3">
        <f t="shared" si="0"/>
        <v>25.4</v>
      </c>
      <c r="Q7" s="3">
        <f t="shared" si="0"/>
        <v>25.4</v>
      </c>
      <c r="R7" s="3">
        <f t="shared" si="0"/>
        <v>24.4</v>
      </c>
      <c r="S7" s="3">
        <f t="shared" si="0"/>
        <v>24.9</v>
      </c>
      <c r="T7" s="3">
        <f t="shared" si="0"/>
        <v>26.4</v>
      </c>
      <c r="U7" s="3">
        <f t="shared" si="0"/>
        <v>27.4</v>
      </c>
      <c r="V7" s="3">
        <f t="shared" si="0"/>
        <v>25.4</v>
      </c>
      <c r="W7" s="3">
        <f t="shared" si="0"/>
        <v>24.4</v>
      </c>
      <c r="X7" s="3">
        <f t="shared" si="0"/>
        <v>26.4</v>
      </c>
      <c r="Y7" s="3">
        <f t="shared" si="0"/>
        <v>24.4</v>
      </c>
      <c r="Z7" s="3">
        <f t="shared" si="0"/>
        <v>23.4</v>
      </c>
      <c r="AA7" s="3">
        <f t="shared" si="0"/>
        <v>24.4</v>
      </c>
      <c r="AB7" s="3">
        <f t="shared" si="0"/>
        <v>23.9</v>
      </c>
      <c r="AC7" s="3">
        <f t="shared" si="0"/>
        <v>22.4</v>
      </c>
      <c r="AD7" s="3">
        <f t="shared" si="0"/>
        <v>21.4</v>
      </c>
      <c r="AE7" s="3">
        <f t="shared" si="0"/>
        <v>21.4</v>
      </c>
      <c r="AF7" s="3">
        <f t="shared" si="0"/>
        <v>21.4</v>
      </c>
    </row>
    <row r="8" spans="1:32" x14ac:dyDescent="0.25">
      <c r="A8" t="s">
        <v>10</v>
      </c>
      <c r="B8">
        <f>B7</f>
        <v>28.4</v>
      </c>
      <c r="C8">
        <f>C7</f>
        <v>28.4</v>
      </c>
      <c r="D8">
        <f>D7</f>
        <v>27.9</v>
      </c>
      <c r="E8">
        <f>E7</f>
        <v>27.4</v>
      </c>
      <c r="F8">
        <f>F7</f>
        <v>28.4</v>
      </c>
      <c r="G8">
        <f>G7</f>
        <v>27.4</v>
      </c>
      <c r="H8">
        <f>H7</f>
        <v>28.4</v>
      </c>
      <c r="I8">
        <f>I7</f>
        <v>27.4</v>
      </c>
      <c r="J8">
        <f>J7</f>
        <v>28.4</v>
      </c>
      <c r="K8">
        <f>K7</f>
        <v>27.4</v>
      </c>
      <c r="L8">
        <f>L7</f>
        <v>26.4</v>
      </c>
      <c r="M8">
        <f>M7</f>
        <v>25.9</v>
      </c>
      <c r="N8">
        <f>N7</f>
        <v>25.4</v>
      </c>
      <c r="O8">
        <f>O7</f>
        <v>24.4</v>
      </c>
      <c r="P8">
        <f>P7</f>
        <v>25.4</v>
      </c>
      <c r="Q8">
        <f>Q7</f>
        <v>25.4</v>
      </c>
      <c r="R8">
        <f>R7</f>
        <v>24.4</v>
      </c>
      <c r="S8">
        <f>S7</f>
        <v>24.9</v>
      </c>
      <c r="T8">
        <f>T7</f>
        <v>26.4</v>
      </c>
      <c r="U8">
        <f>U7</f>
        <v>27.4</v>
      </c>
      <c r="V8">
        <f>V7</f>
        <v>25.4</v>
      </c>
      <c r="W8">
        <f>W7</f>
        <v>24.4</v>
      </c>
      <c r="X8">
        <f>X7</f>
        <v>26.4</v>
      </c>
      <c r="Y8">
        <f>Y7</f>
        <v>24.4</v>
      </c>
      <c r="Z8">
        <f>Z7</f>
        <v>23.4</v>
      </c>
      <c r="AA8">
        <f>AA7</f>
        <v>24.4</v>
      </c>
      <c r="AB8">
        <f>AB7</f>
        <v>23.9</v>
      </c>
      <c r="AC8">
        <f>AC7</f>
        <v>22.4</v>
      </c>
      <c r="AD8">
        <f>AD7</f>
        <v>21.4</v>
      </c>
      <c r="AE8">
        <f>AE7</f>
        <v>21.4</v>
      </c>
      <c r="AF8">
        <f>AF7</f>
        <v>21.4</v>
      </c>
    </row>
    <row r="9" spans="1:32" x14ac:dyDescent="0.25">
      <c r="A9" t="s">
        <v>1</v>
      </c>
      <c r="B9">
        <v>2000</v>
      </c>
      <c r="C9">
        <v>2000</v>
      </c>
      <c r="D9">
        <v>2000</v>
      </c>
      <c r="E9">
        <v>2000</v>
      </c>
      <c r="F9">
        <v>2000</v>
      </c>
      <c r="G9">
        <v>2000</v>
      </c>
      <c r="H9">
        <v>2000</v>
      </c>
      <c r="I9">
        <v>2000</v>
      </c>
      <c r="J9">
        <v>2000</v>
      </c>
      <c r="K9">
        <v>2000</v>
      </c>
      <c r="L9">
        <v>2000</v>
      </c>
      <c r="M9">
        <v>2000</v>
      </c>
      <c r="N9">
        <v>2000</v>
      </c>
      <c r="O9">
        <v>2000</v>
      </c>
      <c r="P9">
        <v>2000</v>
      </c>
      <c r="Q9">
        <v>2000</v>
      </c>
      <c r="R9">
        <v>2000</v>
      </c>
      <c r="S9">
        <v>2000</v>
      </c>
      <c r="T9">
        <v>2000</v>
      </c>
      <c r="U9">
        <v>2000</v>
      </c>
      <c r="V9">
        <v>2000</v>
      </c>
      <c r="W9">
        <v>2000</v>
      </c>
      <c r="X9">
        <v>2000</v>
      </c>
      <c r="Y9">
        <v>2000</v>
      </c>
      <c r="Z9">
        <v>2000</v>
      </c>
      <c r="AA9">
        <v>2000</v>
      </c>
      <c r="AB9">
        <v>2000</v>
      </c>
      <c r="AC9">
        <v>2000</v>
      </c>
      <c r="AD9">
        <v>2000</v>
      </c>
      <c r="AE9">
        <v>2000</v>
      </c>
      <c r="AF9">
        <v>2000</v>
      </c>
    </row>
    <row r="10" spans="1:32" x14ac:dyDescent="0.25">
      <c r="A10" t="s">
        <v>2</v>
      </c>
      <c r="B10">
        <f t="shared" ref="B10:N10" si="1">B8*B9</f>
        <v>56800</v>
      </c>
      <c r="C10">
        <f t="shared" si="1"/>
        <v>56800</v>
      </c>
      <c r="D10">
        <f t="shared" si="1"/>
        <v>55800</v>
      </c>
      <c r="E10">
        <f t="shared" si="1"/>
        <v>54800</v>
      </c>
      <c r="F10">
        <f t="shared" si="1"/>
        <v>56800</v>
      </c>
      <c r="G10">
        <f t="shared" si="1"/>
        <v>54800</v>
      </c>
      <c r="H10">
        <f t="shared" si="1"/>
        <v>56800</v>
      </c>
      <c r="I10">
        <f t="shared" si="1"/>
        <v>54800</v>
      </c>
      <c r="J10">
        <f t="shared" si="1"/>
        <v>56800</v>
      </c>
      <c r="K10">
        <f t="shared" si="1"/>
        <v>54800</v>
      </c>
      <c r="L10">
        <f t="shared" si="1"/>
        <v>52800</v>
      </c>
      <c r="M10">
        <f t="shared" si="1"/>
        <v>51800</v>
      </c>
      <c r="N10">
        <f t="shared" si="1"/>
        <v>50800</v>
      </c>
      <c r="O10">
        <f t="shared" ref="O10" si="2">O8*O9</f>
        <v>48800</v>
      </c>
      <c r="P10">
        <f t="shared" ref="P10" si="3">P8*P9</f>
        <v>50800</v>
      </c>
      <c r="Q10">
        <f t="shared" ref="Q10" si="4">Q8*Q9</f>
        <v>50800</v>
      </c>
      <c r="R10">
        <f t="shared" ref="R10" si="5">R8*R9</f>
        <v>48800</v>
      </c>
      <c r="S10">
        <f t="shared" ref="S10" si="6">S8*S9</f>
        <v>49800</v>
      </c>
      <c r="T10">
        <f t="shared" ref="T10" si="7">T8*T9</f>
        <v>52800</v>
      </c>
      <c r="U10">
        <f t="shared" ref="U10" si="8">U8*U9</f>
        <v>54800</v>
      </c>
      <c r="V10">
        <f t="shared" ref="V10" si="9">V8*V9</f>
        <v>50800</v>
      </c>
      <c r="W10">
        <f t="shared" ref="W10" si="10">W8*W9</f>
        <v>48800</v>
      </c>
      <c r="X10">
        <f t="shared" ref="X10" si="11">X8*X9</f>
        <v>52800</v>
      </c>
      <c r="Y10">
        <f t="shared" ref="Y10" si="12">Y8*Y9</f>
        <v>48800</v>
      </c>
      <c r="Z10">
        <f t="shared" ref="Z10" si="13">Z8*Z9</f>
        <v>46800</v>
      </c>
      <c r="AA10">
        <f t="shared" ref="AA10" si="14">AA8*AA9</f>
        <v>48800</v>
      </c>
      <c r="AB10">
        <f t="shared" ref="AB10" si="15">AB8*AB9</f>
        <v>47800</v>
      </c>
      <c r="AC10">
        <f t="shared" ref="AC10" si="16">AC8*AC9</f>
        <v>44800</v>
      </c>
      <c r="AD10">
        <f t="shared" ref="AD10" si="17">AD8*AD9</f>
        <v>42800</v>
      </c>
      <c r="AE10">
        <f t="shared" ref="AE10" si="18">AE8*AE9</f>
        <v>42800</v>
      </c>
      <c r="AF10">
        <f t="shared" ref="AF10" si="19">AF8*AF9</f>
        <v>42800</v>
      </c>
    </row>
    <row r="11" spans="1:32" x14ac:dyDescent="0.25">
      <c r="A11" t="s">
        <v>7</v>
      </c>
      <c r="B11" s="1">
        <f t="shared" ref="B11:AF11" si="20">B4*B9</f>
        <v>187200</v>
      </c>
      <c r="C11" s="1">
        <f t="shared" si="20"/>
        <v>187200</v>
      </c>
      <c r="D11" s="1">
        <f t="shared" si="20"/>
        <v>187200</v>
      </c>
      <c r="E11" s="1">
        <f t="shared" si="20"/>
        <v>187200</v>
      </c>
      <c r="F11" s="1">
        <f t="shared" si="20"/>
        <v>187200</v>
      </c>
      <c r="G11" s="1">
        <f t="shared" si="20"/>
        <v>187200</v>
      </c>
      <c r="H11" s="1">
        <f t="shared" si="20"/>
        <v>187200</v>
      </c>
      <c r="I11" s="1">
        <f t="shared" si="20"/>
        <v>187200</v>
      </c>
      <c r="J11" s="1">
        <f t="shared" si="20"/>
        <v>187200</v>
      </c>
      <c r="K11" s="1">
        <f t="shared" si="20"/>
        <v>187200</v>
      </c>
      <c r="L11" s="1">
        <f t="shared" si="20"/>
        <v>187200</v>
      </c>
      <c r="M11" s="1">
        <f t="shared" si="20"/>
        <v>187200</v>
      </c>
      <c r="N11" s="1">
        <f t="shared" si="20"/>
        <v>187200</v>
      </c>
      <c r="O11" s="1">
        <f t="shared" si="20"/>
        <v>187200</v>
      </c>
      <c r="P11" s="1">
        <f t="shared" si="20"/>
        <v>187200</v>
      </c>
      <c r="Q11" s="1">
        <f t="shared" si="20"/>
        <v>187200</v>
      </c>
      <c r="R11" s="1">
        <f t="shared" si="20"/>
        <v>187200</v>
      </c>
      <c r="S11" s="1">
        <f t="shared" si="20"/>
        <v>187200</v>
      </c>
      <c r="T11" s="1">
        <f t="shared" si="20"/>
        <v>187200</v>
      </c>
      <c r="U11" s="1">
        <f t="shared" si="20"/>
        <v>187200</v>
      </c>
      <c r="V11" s="1">
        <f t="shared" si="20"/>
        <v>187200</v>
      </c>
      <c r="W11" s="1">
        <f t="shared" si="20"/>
        <v>187200</v>
      </c>
      <c r="X11" s="1">
        <f t="shared" si="20"/>
        <v>187200</v>
      </c>
      <c r="Y11" s="1">
        <f t="shared" si="20"/>
        <v>187200</v>
      </c>
      <c r="Z11" s="1">
        <f t="shared" si="20"/>
        <v>187200</v>
      </c>
      <c r="AA11" s="1">
        <f t="shared" si="20"/>
        <v>187200</v>
      </c>
      <c r="AB11" s="1">
        <f t="shared" si="20"/>
        <v>187200</v>
      </c>
      <c r="AC11" s="1">
        <f t="shared" si="20"/>
        <v>187200</v>
      </c>
      <c r="AD11" s="1">
        <f t="shared" si="20"/>
        <v>187200</v>
      </c>
      <c r="AE11" s="1">
        <f t="shared" si="20"/>
        <v>187200</v>
      </c>
      <c r="AF11" s="1">
        <f t="shared" si="20"/>
        <v>187200</v>
      </c>
    </row>
    <row r="12" spans="1:32" x14ac:dyDescent="0.25">
      <c r="A12" t="s">
        <v>3</v>
      </c>
      <c r="B12" s="19">
        <f>Sheet2!$C4</f>
        <v>4.3899999999999997</v>
      </c>
      <c r="C12" s="19">
        <f>Sheet2!$C4</f>
        <v>4.3899999999999997</v>
      </c>
      <c r="D12" s="19">
        <f>Sheet2!$C4</f>
        <v>4.3899999999999997</v>
      </c>
      <c r="E12" s="19">
        <f>Sheet2!$C4</f>
        <v>4.3899999999999997</v>
      </c>
      <c r="F12" s="19">
        <f>Sheet2!$C4</f>
        <v>4.3899999999999997</v>
      </c>
      <c r="G12" s="19">
        <f>Sheet2!$C4</f>
        <v>4.3899999999999997</v>
      </c>
      <c r="H12" s="19">
        <f>Sheet2!$C4</f>
        <v>4.3899999999999997</v>
      </c>
      <c r="I12" s="19">
        <f>Sheet2!$C4</f>
        <v>4.3899999999999997</v>
      </c>
      <c r="J12" s="19">
        <f>Sheet2!$C4</f>
        <v>4.3899999999999997</v>
      </c>
      <c r="K12" s="19">
        <f>Sheet2!$C4</f>
        <v>4.3899999999999997</v>
      </c>
      <c r="L12" s="19">
        <f>Sheet2!$C4</f>
        <v>4.3899999999999997</v>
      </c>
      <c r="M12" s="19">
        <f>Sheet2!$C4</f>
        <v>4.3899999999999997</v>
      </c>
      <c r="N12" s="19">
        <f>Sheet2!$C4</f>
        <v>4.3899999999999997</v>
      </c>
      <c r="O12" s="19">
        <f>Sheet2!$C4</f>
        <v>4.3899999999999997</v>
      </c>
      <c r="P12" s="19">
        <f>Sheet2!$C4</f>
        <v>4.3899999999999997</v>
      </c>
      <c r="Q12" s="19">
        <f>Sheet2!$C4</f>
        <v>4.3899999999999997</v>
      </c>
      <c r="R12" s="19">
        <f>Sheet2!$C4</f>
        <v>4.3899999999999997</v>
      </c>
      <c r="S12" s="19">
        <f>Sheet2!$C4</f>
        <v>4.3899999999999997</v>
      </c>
      <c r="T12" s="19">
        <f>Sheet2!$C4</f>
        <v>4.3899999999999997</v>
      </c>
      <c r="U12" s="19">
        <f>Sheet2!$C4</f>
        <v>4.3899999999999997</v>
      </c>
      <c r="V12" s="19">
        <f>Sheet2!$C4</f>
        <v>4.3899999999999997</v>
      </c>
      <c r="W12" s="19">
        <f>Sheet2!$C4</f>
        <v>4.3899999999999997</v>
      </c>
      <c r="X12" s="19">
        <f>Sheet2!$C4</f>
        <v>4.3899999999999997</v>
      </c>
      <c r="Y12" s="19">
        <f>Sheet2!$C4</f>
        <v>4.3899999999999997</v>
      </c>
      <c r="Z12" s="19">
        <f>Sheet2!$C4</f>
        <v>4.3899999999999997</v>
      </c>
      <c r="AA12" s="19">
        <f>Sheet2!$C4</f>
        <v>4.3899999999999997</v>
      </c>
      <c r="AB12" s="19">
        <f>Sheet2!$C4</f>
        <v>4.3899999999999997</v>
      </c>
      <c r="AC12" s="19">
        <f>Sheet2!$C4</f>
        <v>4.3899999999999997</v>
      </c>
      <c r="AD12" s="19">
        <f>Sheet2!$C4</f>
        <v>4.3899999999999997</v>
      </c>
      <c r="AE12" s="19">
        <f>Sheet2!$C4</f>
        <v>4.3899999999999997</v>
      </c>
      <c r="AF12" s="19">
        <f>Sheet2!$C4</f>
        <v>4.3899999999999997</v>
      </c>
    </row>
    <row r="13" spans="1:32" x14ac:dyDescent="0.25">
      <c r="B13" s="2"/>
    </row>
    <row r="14" spans="1:32" x14ac:dyDescent="0.25">
      <c r="A14" t="s">
        <v>4</v>
      </c>
      <c r="B14" s="2">
        <f>B10*B12</f>
        <v>249351.99999999997</v>
      </c>
      <c r="C14" s="2">
        <f>C10*C12</f>
        <v>249351.99999999997</v>
      </c>
      <c r="D14" s="2">
        <f>D10*D12</f>
        <v>244961.99999999997</v>
      </c>
      <c r="E14" s="2">
        <f>E10*E12</f>
        <v>240571.99999999997</v>
      </c>
      <c r="F14" s="2">
        <f>F10*F12</f>
        <v>249351.99999999997</v>
      </c>
      <c r="G14" s="2">
        <f>G10*G12</f>
        <v>240571.99999999997</v>
      </c>
      <c r="H14" s="2">
        <f>H10*H12</f>
        <v>249351.99999999997</v>
      </c>
      <c r="I14" s="2">
        <f>I10*I12</f>
        <v>240571.99999999997</v>
      </c>
      <c r="J14" s="2">
        <f>J10*J12</f>
        <v>249351.99999999997</v>
      </c>
      <c r="K14" s="2">
        <f>K10*K12</f>
        <v>240571.99999999997</v>
      </c>
      <c r="L14" s="2">
        <f>L10*L12</f>
        <v>231791.99999999997</v>
      </c>
      <c r="M14" s="2">
        <f>M10*M12</f>
        <v>227401.99999999997</v>
      </c>
      <c r="N14" s="2">
        <f>N10*N12</f>
        <v>223011.99999999997</v>
      </c>
      <c r="O14" s="2">
        <f>O10*O12</f>
        <v>214231.99999999997</v>
      </c>
      <c r="P14" s="2">
        <f>P10*P12</f>
        <v>223011.99999999997</v>
      </c>
      <c r="Q14" s="2">
        <f>Q10*Q12</f>
        <v>223011.99999999997</v>
      </c>
      <c r="R14" s="2">
        <f>R10*R12</f>
        <v>214231.99999999997</v>
      </c>
      <c r="S14" s="2">
        <f>S10*S12</f>
        <v>218621.99999999997</v>
      </c>
      <c r="T14" s="2">
        <f>T10*T12</f>
        <v>231791.99999999997</v>
      </c>
      <c r="U14" s="2">
        <f>U10*U12</f>
        <v>240571.99999999997</v>
      </c>
      <c r="V14" s="2">
        <f>V10*V12</f>
        <v>223011.99999999997</v>
      </c>
      <c r="W14" s="2">
        <f>W10*W12</f>
        <v>214231.99999999997</v>
      </c>
      <c r="X14" s="2">
        <f>X10*X12</f>
        <v>231791.99999999997</v>
      </c>
      <c r="Y14" s="2">
        <f>Y10*Y12</f>
        <v>214231.99999999997</v>
      </c>
      <c r="Z14" s="2">
        <f>Z10*Z12</f>
        <v>205451.99999999997</v>
      </c>
      <c r="AA14" s="2">
        <f>AA10*AA12</f>
        <v>214231.99999999997</v>
      </c>
      <c r="AB14" s="2">
        <f>AB10*AB12</f>
        <v>209841.99999999997</v>
      </c>
      <c r="AC14" s="2">
        <f>AC10*AC12</f>
        <v>196672</v>
      </c>
      <c r="AD14" s="2">
        <f>AD10*AD12</f>
        <v>187892</v>
      </c>
      <c r="AE14" s="2">
        <f>AE10*AE12</f>
        <v>187892</v>
      </c>
      <c r="AF14" s="2">
        <f>AF10*AF12</f>
        <v>187892</v>
      </c>
    </row>
    <row r="15" spans="1:32" x14ac:dyDescent="0.25">
      <c r="A15" t="s">
        <v>5</v>
      </c>
      <c r="B15" s="2">
        <f>B14-B11</f>
        <v>62151.999999999971</v>
      </c>
      <c r="C15" s="2">
        <f>C14-C11</f>
        <v>62151.999999999971</v>
      </c>
      <c r="D15" s="2">
        <f>D14-D11</f>
        <v>57761.999999999971</v>
      </c>
      <c r="E15" s="2">
        <f>E14-E11</f>
        <v>53371.999999999971</v>
      </c>
      <c r="F15" s="2">
        <f>F14-F11</f>
        <v>62151.999999999971</v>
      </c>
      <c r="G15" s="2">
        <f>G14-G11</f>
        <v>53371.999999999971</v>
      </c>
      <c r="H15" s="2">
        <f>H14-H11</f>
        <v>62151.999999999971</v>
      </c>
      <c r="I15" s="2">
        <f>I14-I11</f>
        <v>53371.999999999971</v>
      </c>
      <c r="J15" s="2">
        <f>J14-J11</f>
        <v>62151.999999999971</v>
      </c>
      <c r="K15" s="2">
        <f>K14-K11</f>
        <v>53371.999999999971</v>
      </c>
      <c r="L15" s="2">
        <f>L14-L11</f>
        <v>44591.999999999971</v>
      </c>
      <c r="M15" s="2">
        <f>M14-M11</f>
        <v>40201.999999999971</v>
      </c>
      <c r="N15" s="2">
        <f>N14-N11</f>
        <v>35811.999999999971</v>
      </c>
      <c r="O15" s="2">
        <f>O14-O11</f>
        <v>27031.999999999971</v>
      </c>
      <c r="P15" s="2">
        <f>P14-P11</f>
        <v>35811.999999999971</v>
      </c>
      <c r="Q15" s="2">
        <f>Q14-Q11</f>
        <v>35811.999999999971</v>
      </c>
      <c r="R15" s="2">
        <f>R14-R11</f>
        <v>27031.999999999971</v>
      </c>
      <c r="S15" s="2">
        <f>S14-S11</f>
        <v>31421.999999999971</v>
      </c>
      <c r="T15" s="2">
        <f>T14-T11</f>
        <v>44591.999999999971</v>
      </c>
      <c r="U15" s="2">
        <f>U14-U11</f>
        <v>53371.999999999971</v>
      </c>
      <c r="V15" s="2">
        <f>V14-V11</f>
        <v>35811.999999999971</v>
      </c>
      <c r="W15" s="2">
        <f>W14-W11</f>
        <v>27031.999999999971</v>
      </c>
      <c r="X15" s="2">
        <f>X14-X11</f>
        <v>44591.999999999971</v>
      </c>
      <c r="Y15" s="2">
        <f>Y14-Y11</f>
        <v>27031.999999999971</v>
      </c>
      <c r="Z15" s="2">
        <f>Z14-Z11</f>
        <v>18251.999999999971</v>
      </c>
      <c r="AA15" s="2">
        <f>AA14-AA11</f>
        <v>27031.999999999971</v>
      </c>
      <c r="AB15" s="2">
        <f>AB14-AB11</f>
        <v>22641.999999999971</v>
      </c>
      <c r="AC15" s="2">
        <f>AC14-AC11</f>
        <v>9472</v>
      </c>
      <c r="AD15" s="2">
        <f>AD14-AD11</f>
        <v>692</v>
      </c>
      <c r="AE15" s="2">
        <f>AE14-AE11</f>
        <v>692</v>
      </c>
      <c r="AF15" s="2">
        <f>AF14-AF11</f>
        <v>692</v>
      </c>
    </row>
    <row r="16" spans="1:32" x14ac:dyDescent="0.25">
      <c r="B16" s="2"/>
    </row>
    <row r="19" spans="1:32" x14ac:dyDescent="0.25">
      <c r="A19" t="s">
        <v>6</v>
      </c>
      <c r="B19" s="1">
        <f>NPV(3%,B15:AF15)</f>
        <v>840989.68973188393</v>
      </c>
      <c r="C19" s="1">
        <f>NPV(3%,C15:AF15)</f>
        <v>804067.3804238406</v>
      </c>
      <c r="D19" s="1">
        <f>NPV(3%,D15:AF15)</f>
        <v>766037.4018365558</v>
      </c>
      <c r="E19" s="1">
        <f>NPV(3%,E15:AF15)</f>
        <v>731256.52389165259</v>
      </c>
      <c r="F19" s="1">
        <f>NPV(3%,F15:AF15)</f>
        <v>699822.21960840223</v>
      </c>
      <c r="G19" s="1">
        <f>NPV(3%,G15:AF15)</f>
        <v>658664.88619665429</v>
      </c>
      <c r="H19" s="1">
        <f>NPV(3%,H15:AF15)</f>
        <v>625052.83278255386</v>
      </c>
      <c r="I19" s="1">
        <f>NPV(3%,I15:AF15)</f>
        <v>581652.41776603064</v>
      </c>
      <c r="J19" s="1">
        <f>NPV(3%,J15:AF15)</f>
        <v>545729.9902990117</v>
      </c>
      <c r="K19" s="1">
        <f>NPV(3%,K15:AF15)</f>
        <v>499949.89000798197</v>
      </c>
      <c r="L19" s="1">
        <f>NPV(3%,L15:AO15)</f>
        <v>461576.38670822157</v>
      </c>
      <c r="M19" s="1">
        <f>NPV(3%,M15:AP15)</f>
        <v>430831.6783094682</v>
      </c>
      <c r="N19" s="1">
        <f>NPV(3%,N15:AQ15)</f>
        <v>403554.62865875225</v>
      </c>
      <c r="O19" s="1">
        <f>NPV(3%,O15:AR15)</f>
        <v>379849.26751851488</v>
      </c>
      <c r="P19" s="1">
        <f>NPV(3%,P15:AS15)</f>
        <v>364212.74554407044</v>
      </c>
      <c r="Q19" s="1">
        <f>NPV(3%,Q15:AT15)</f>
        <v>339327.12791039248</v>
      </c>
      <c r="R19" s="1">
        <f>NPV(3%,R15:AU15)</f>
        <v>313694.94174770429</v>
      </c>
      <c r="S19" s="1">
        <f>NPV(3%,S15:AV15)</f>
        <v>296073.79000013554</v>
      </c>
      <c r="T19" s="1">
        <f>NPV(3%,T15:AW15)</f>
        <v>273534.00370013964</v>
      </c>
      <c r="U19" s="1">
        <f>NPV(3%,U15:AX15)</f>
        <v>237148.02381114391</v>
      </c>
      <c r="V19" s="1">
        <f>NPV(3%,V15:AY15)</f>
        <v>190890.46452547819</v>
      </c>
      <c r="W19" s="1">
        <f>NPV(3%,W15:AZ15)</f>
        <v>160805.17846124261</v>
      </c>
      <c r="X19" s="1">
        <f>NPV(3%,X15:BA15)</f>
        <v>138597.33381507991</v>
      </c>
      <c r="Y19" s="1">
        <f>NPV(3%,Y15:BB15)</f>
        <v>98163.253829532332</v>
      </c>
      <c r="Z19" s="1">
        <f>NPV(3%,Z15:BC15)</f>
        <v>74076.151444418312</v>
      </c>
      <c r="AA19" s="1">
        <f>NPV(3%,AA15:BD15)</f>
        <v>58046.435987750876</v>
      </c>
      <c r="AB19" s="1">
        <f>NPV(3%,AB15:BE15)</f>
        <v>32755.829067383442</v>
      </c>
      <c r="AC19" s="1">
        <f>NPV(3%,AC15:BF15)</f>
        <v>11096.503939404971</v>
      </c>
      <c r="AD19" s="1">
        <f>NPV(3%,AD15:BG15)</f>
        <v>1957.3990575871189</v>
      </c>
      <c r="AE19" s="1">
        <f>NPV(3%,AE15:BH15)</f>
        <v>1324.1210293147326</v>
      </c>
      <c r="AF19" s="1">
        <f>NPV(3%,AF15:BI15)</f>
        <v>671.84466019417471</v>
      </c>
    </row>
    <row r="20" spans="1:32" x14ac:dyDescent="0.25">
      <c r="B20" s="1"/>
    </row>
    <row r="23" spans="1:32" x14ac:dyDescent="0.25">
      <c r="B23" s="1" t="s">
        <v>249</v>
      </c>
      <c r="C23" t="s">
        <v>3</v>
      </c>
    </row>
    <row r="24" spans="1:32" x14ac:dyDescent="0.25">
      <c r="A24" s="121">
        <v>-0.5</v>
      </c>
      <c r="B24" s="1">
        <v>2745030.4824207406</v>
      </c>
      <c r="C24">
        <v>-1498544.8398343986</v>
      </c>
    </row>
    <row r="25" spans="1:32" x14ac:dyDescent="0.25">
      <c r="A25" s="121">
        <v>-0.1</v>
      </c>
      <c r="B25" s="1">
        <v>1224997.916828796</v>
      </c>
      <c r="C25">
        <v>433660.01717346907</v>
      </c>
    </row>
    <row r="26" spans="1:32" x14ac:dyDescent="0.25">
      <c r="A26" t="s">
        <v>248</v>
      </c>
      <c r="B26" s="8">
        <v>840989.68973188393</v>
      </c>
      <c r="C26" s="8">
        <v>840989.68973188393</v>
      </c>
      <c r="J26" s="3"/>
    </row>
    <row r="27" spans="1:32" x14ac:dyDescent="0.25">
      <c r="A27" s="121">
        <v>0.1</v>
      </c>
      <c r="B27" s="8">
        <v>464981.63403282419</v>
      </c>
      <c r="C27">
        <v>1269208.0634471418</v>
      </c>
      <c r="J27" s="3"/>
    </row>
    <row r="28" spans="1:32" x14ac:dyDescent="0.25">
      <c r="A28" s="121">
        <v>0.5</v>
      </c>
      <c r="B28" s="8">
        <v>-2615084.3541403254</v>
      </c>
      <c r="C28">
        <v>3133524.6416952731</v>
      </c>
      <c r="J28" s="3"/>
    </row>
    <row r="29" spans="1:32" x14ac:dyDescent="0.25">
      <c r="J29" s="3"/>
    </row>
    <row r="30" spans="1:32" x14ac:dyDescent="0.25">
      <c r="J30" s="3"/>
    </row>
    <row r="31" spans="1:32" x14ac:dyDescent="0.25">
      <c r="J31" s="3"/>
    </row>
    <row r="32" spans="1:32" x14ac:dyDescent="0.25">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row r="45" spans="10:10" x14ac:dyDescent="0.25">
      <c r="J45" s="3"/>
    </row>
    <row r="46" spans="10:10" x14ac:dyDescent="0.25">
      <c r="J46" s="3"/>
    </row>
    <row r="47" spans="10:10" x14ac:dyDescent="0.25">
      <c r="J47" s="3"/>
    </row>
    <row r="48" spans="10:10" x14ac:dyDescent="0.25">
      <c r="J48" s="3"/>
    </row>
    <row r="49" spans="10:10" x14ac:dyDescent="0.25">
      <c r="J49" s="3"/>
    </row>
    <row r="50" spans="10:10" x14ac:dyDescent="0.25">
      <c r="J50" s="3"/>
    </row>
    <row r="51" spans="10:10" x14ac:dyDescent="0.25">
      <c r="J51" s="3"/>
    </row>
    <row r="52" spans="10:10" x14ac:dyDescent="0.25">
      <c r="J52" s="3"/>
    </row>
    <row r="53" spans="10:10" x14ac:dyDescent="0.25">
      <c r="J53" s="3"/>
    </row>
    <row r="54" spans="10:10" x14ac:dyDescent="0.25">
      <c r="J54" s="3"/>
    </row>
    <row r="55" spans="10:10" x14ac:dyDescent="0.25">
      <c r="J55" s="3"/>
    </row>
  </sheetData>
  <conditionalFormatting sqref="A12">
    <cfRule type="expression" dxfId="1655" priority="2980" stopIfTrue="1">
      <formula>IF(RiskSelectedNameCell2=CELL("address",$A$12),TRUE)</formula>
    </cfRule>
  </conditionalFormatting>
  <conditionalFormatting sqref="B8">
    <cfRule type="expression" dxfId="590" priority="2981" stopIfTrue="1">
      <formula>RiskIsInput</formula>
    </cfRule>
  </conditionalFormatting>
  <conditionalFormatting sqref="C8">
    <cfRule type="expression" dxfId="589" priority="2982" stopIfTrue="1">
      <formula>RiskIsInput</formula>
    </cfRule>
  </conditionalFormatting>
  <conditionalFormatting sqref="D8">
    <cfRule type="expression" dxfId="588" priority="2983" stopIfTrue="1">
      <formula>RiskIsInput</formula>
    </cfRule>
  </conditionalFormatting>
  <conditionalFormatting sqref="E8">
    <cfRule type="expression" dxfId="587" priority="2984" stopIfTrue="1">
      <formula>RiskIsInput</formula>
    </cfRule>
  </conditionalFormatting>
  <conditionalFormatting sqref="F8">
    <cfRule type="expression" dxfId="586" priority="2985" stopIfTrue="1">
      <formula>RiskIsInput</formula>
    </cfRule>
  </conditionalFormatting>
  <conditionalFormatting sqref="G8">
    <cfRule type="expression" dxfId="585" priority="2986" stopIfTrue="1">
      <formula>RiskIsInput</formula>
    </cfRule>
  </conditionalFormatting>
  <conditionalFormatting sqref="H8">
    <cfRule type="expression" dxfId="584" priority="2987" stopIfTrue="1">
      <formula>RiskIsInput</formula>
    </cfRule>
  </conditionalFormatting>
  <conditionalFormatting sqref="I8">
    <cfRule type="expression" dxfId="583" priority="2988" stopIfTrue="1">
      <formula>RiskIsInput</formula>
    </cfRule>
  </conditionalFormatting>
  <conditionalFormatting sqref="J8">
    <cfRule type="expression" dxfId="582" priority="2989" stopIfTrue="1">
      <formula>RiskIsInput</formula>
    </cfRule>
  </conditionalFormatting>
  <conditionalFormatting sqref="K8">
    <cfRule type="expression" dxfId="581" priority="2990" stopIfTrue="1">
      <formula>RiskIsInput</formula>
    </cfRule>
  </conditionalFormatting>
  <conditionalFormatting sqref="L8">
    <cfRule type="expression" dxfId="580" priority="2991" stopIfTrue="1">
      <formula>RiskIsInput</formula>
    </cfRule>
  </conditionalFormatting>
  <conditionalFormatting sqref="M8">
    <cfRule type="expression" dxfId="579" priority="2992" stopIfTrue="1">
      <formula>RiskIsInput</formula>
    </cfRule>
  </conditionalFormatting>
  <conditionalFormatting sqref="N8">
    <cfRule type="expression" dxfId="578" priority="2993" stopIfTrue="1">
      <formula>RiskIsInput</formula>
    </cfRule>
  </conditionalFormatting>
  <conditionalFormatting sqref="O8">
    <cfRule type="expression" dxfId="577" priority="2994" stopIfTrue="1">
      <formula>RiskIsInput</formula>
    </cfRule>
  </conditionalFormatting>
  <conditionalFormatting sqref="P8">
    <cfRule type="expression" dxfId="576" priority="2995" stopIfTrue="1">
      <formula>RiskIsInput</formula>
    </cfRule>
  </conditionalFormatting>
  <conditionalFormatting sqref="Q8">
    <cfRule type="expression" dxfId="575" priority="2996" stopIfTrue="1">
      <formula>RiskIsInput</formula>
    </cfRule>
  </conditionalFormatting>
  <conditionalFormatting sqref="R8">
    <cfRule type="expression" dxfId="574" priority="2997" stopIfTrue="1">
      <formula>RiskIsInput</formula>
    </cfRule>
  </conditionalFormatting>
  <conditionalFormatting sqref="S8">
    <cfRule type="expression" dxfId="573" priority="2998" stopIfTrue="1">
      <formula>RiskIsInput</formula>
    </cfRule>
  </conditionalFormatting>
  <conditionalFormatting sqref="T8">
    <cfRule type="expression" dxfId="572" priority="2999" stopIfTrue="1">
      <formula>RiskIsInput</formula>
    </cfRule>
  </conditionalFormatting>
  <conditionalFormatting sqref="U8">
    <cfRule type="expression" dxfId="571" priority="3000" stopIfTrue="1">
      <formula>RiskIsInput</formula>
    </cfRule>
  </conditionalFormatting>
  <conditionalFormatting sqref="V8">
    <cfRule type="expression" dxfId="570" priority="3001" stopIfTrue="1">
      <formula>RiskIsInput</formula>
    </cfRule>
  </conditionalFormatting>
  <conditionalFormatting sqref="W8">
    <cfRule type="expression" dxfId="569" priority="3002" stopIfTrue="1">
      <formula>RiskIsInput</formula>
    </cfRule>
  </conditionalFormatting>
  <conditionalFormatting sqref="X8">
    <cfRule type="expression" dxfId="568" priority="3003" stopIfTrue="1">
      <formula>RiskIsInput</formula>
    </cfRule>
  </conditionalFormatting>
  <conditionalFormatting sqref="Y8">
    <cfRule type="expression" dxfId="567" priority="3004" stopIfTrue="1">
      <formula>RiskIsInput</formula>
    </cfRule>
  </conditionalFormatting>
  <conditionalFormatting sqref="Z8">
    <cfRule type="expression" dxfId="566" priority="3005" stopIfTrue="1">
      <formula>RiskIsInput</formula>
    </cfRule>
  </conditionalFormatting>
  <conditionalFormatting sqref="AA8">
    <cfRule type="expression" dxfId="565" priority="3006" stopIfTrue="1">
      <formula>RiskIsInput</formula>
    </cfRule>
  </conditionalFormatting>
  <conditionalFormatting sqref="AB8">
    <cfRule type="expression" dxfId="564" priority="3007" stopIfTrue="1">
      <formula>RiskIsInput</formula>
    </cfRule>
  </conditionalFormatting>
  <conditionalFormatting sqref="AC8">
    <cfRule type="expression" dxfId="563" priority="3008" stopIfTrue="1">
      <formula>RiskIsInput</formula>
    </cfRule>
  </conditionalFormatting>
  <conditionalFormatting sqref="AD8">
    <cfRule type="expression" dxfId="562" priority="3009" stopIfTrue="1">
      <formula>RiskIsInput</formula>
    </cfRule>
  </conditionalFormatting>
  <conditionalFormatting sqref="AE8">
    <cfRule type="expression" dxfId="561" priority="3010" stopIfTrue="1">
      <formula>RiskIsInput</formula>
    </cfRule>
  </conditionalFormatting>
  <conditionalFormatting sqref="AF8">
    <cfRule type="expression" dxfId="560" priority="3011" stopIfTrue="1">
      <formula>RiskIsInput</formula>
    </cfRule>
  </conditionalFormatting>
  <conditionalFormatting sqref="B14">
    <cfRule type="expression" dxfId="559" priority="3012" stopIfTrue="1">
      <formula>RiskIsOutput</formula>
    </cfRule>
  </conditionalFormatting>
  <conditionalFormatting sqref="C14">
    <cfRule type="expression" dxfId="558" priority="3013" stopIfTrue="1">
      <formula>RiskIsOutput</formula>
    </cfRule>
  </conditionalFormatting>
  <conditionalFormatting sqref="D14">
    <cfRule type="expression" dxfId="557" priority="3014" stopIfTrue="1">
      <formula>RiskIsOutput</formula>
    </cfRule>
  </conditionalFormatting>
  <conditionalFormatting sqref="E14">
    <cfRule type="expression" dxfId="556" priority="3015" stopIfTrue="1">
      <formula>RiskIsOutput</formula>
    </cfRule>
  </conditionalFormatting>
  <conditionalFormatting sqref="F14">
    <cfRule type="expression" dxfId="555" priority="3016" stopIfTrue="1">
      <formula>RiskIsOutput</formula>
    </cfRule>
  </conditionalFormatting>
  <conditionalFormatting sqref="G14">
    <cfRule type="expression" dxfId="554" priority="3017" stopIfTrue="1">
      <formula>RiskIsOutput</formula>
    </cfRule>
  </conditionalFormatting>
  <conditionalFormatting sqref="H14">
    <cfRule type="expression" dxfId="553" priority="3018" stopIfTrue="1">
      <formula>RiskIsOutput</formula>
    </cfRule>
  </conditionalFormatting>
  <conditionalFormatting sqref="I14">
    <cfRule type="expression" dxfId="552" priority="3019" stopIfTrue="1">
      <formula>RiskIsOutput</formula>
    </cfRule>
  </conditionalFormatting>
  <conditionalFormatting sqref="J14">
    <cfRule type="expression" dxfId="551" priority="3020" stopIfTrue="1">
      <formula>RiskIsOutput</formula>
    </cfRule>
  </conditionalFormatting>
  <conditionalFormatting sqref="K14">
    <cfRule type="expression" dxfId="550" priority="3021" stopIfTrue="1">
      <formula>RiskIsOutput</formula>
    </cfRule>
  </conditionalFormatting>
  <conditionalFormatting sqref="L14">
    <cfRule type="expression" dxfId="549" priority="3022" stopIfTrue="1">
      <formula>RiskIsOutput</formula>
    </cfRule>
  </conditionalFormatting>
  <conditionalFormatting sqref="M14">
    <cfRule type="expression" dxfId="548" priority="3023" stopIfTrue="1">
      <formula>RiskIsOutput</formula>
    </cfRule>
  </conditionalFormatting>
  <conditionalFormatting sqref="N14">
    <cfRule type="expression" dxfId="547" priority="3024" stopIfTrue="1">
      <formula>RiskIsOutput</formula>
    </cfRule>
  </conditionalFormatting>
  <conditionalFormatting sqref="O14">
    <cfRule type="expression" dxfId="546" priority="3025" stopIfTrue="1">
      <formula>RiskIsOutput</formula>
    </cfRule>
  </conditionalFormatting>
  <conditionalFormatting sqref="P14">
    <cfRule type="expression" dxfId="545" priority="3026" stopIfTrue="1">
      <formula>RiskIsOutput</formula>
    </cfRule>
  </conditionalFormatting>
  <conditionalFormatting sqref="Q14">
    <cfRule type="expression" dxfId="544" priority="3027" stopIfTrue="1">
      <formula>RiskIsOutput</formula>
    </cfRule>
  </conditionalFormatting>
  <conditionalFormatting sqref="R14">
    <cfRule type="expression" dxfId="543" priority="3028" stopIfTrue="1">
      <formula>RiskIsOutput</formula>
    </cfRule>
  </conditionalFormatting>
  <conditionalFormatting sqref="S14">
    <cfRule type="expression" dxfId="542" priority="3029" stopIfTrue="1">
      <formula>RiskIsOutput</formula>
    </cfRule>
  </conditionalFormatting>
  <conditionalFormatting sqref="T14">
    <cfRule type="expression" dxfId="541" priority="3030" stopIfTrue="1">
      <formula>RiskIsOutput</formula>
    </cfRule>
  </conditionalFormatting>
  <conditionalFormatting sqref="U14">
    <cfRule type="expression" dxfId="540" priority="3031" stopIfTrue="1">
      <formula>RiskIsOutput</formula>
    </cfRule>
  </conditionalFormatting>
  <conditionalFormatting sqref="V14">
    <cfRule type="expression" dxfId="539" priority="3032" stopIfTrue="1">
      <formula>RiskIsOutput</formula>
    </cfRule>
  </conditionalFormatting>
  <conditionalFormatting sqref="W14">
    <cfRule type="expression" dxfId="538" priority="3033" stopIfTrue="1">
      <formula>RiskIsOutput</formula>
    </cfRule>
  </conditionalFormatting>
  <conditionalFormatting sqref="X14">
    <cfRule type="expression" dxfId="537" priority="3034" stopIfTrue="1">
      <formula>RiskIsOutput</formula>
    </cfRule>
  </conditionalFormatting>
  <conditionalFormatting sqref="Y14">
    <cfRule type="expression" dxfId="536" priority="3035" stopIfTrue="1">
      <formula>RiskIsOutput</formula>
    </cfRule>
  </conditionalFormatting>
  <conditionalFormatting sqref="Z14">
    <cfRule type="expression" dxfId="535" priority="3036" stopIfTrue="1">
      <formula>RiskIsOutput</formula>
    </cfRule>
  </conditionalFormatting>
  <conditionalFormatting sqref="AA14">
    <cfRule type="expression" dxfId="534" priority="3037" stopIfTrue="1">
      <formula>RiskIsOutput</formula>
    </cfRule>
  </conditionalFormatting>
  <conditionalFormatting sqref="AB14">
    <cfRule type="expression" dxfId="533" priority="3038" stopIfTrue="1">
      <formula>RiskIsOutput</formula>
    </cfRule>
  </conditionalFormatting>
  <conditionalFormatting sqref="AC14">
    <cfRule type="expression" dxfId="532" priority="3039" stopIfTrue="1">
      <formula>RiskIsOutput</formula>
    </cfRule>
  </conditionalFormatting>
  <conditionalFormatting sqref="AD14">
    <cfRule type="expression" dxfId="531" priority="3040" stopIfTrue="1">
      <formula>RiskIsOutput</formula>
    </cfRule>
  </conditionalFormatting>
  <conditionalFormatting sqref="AE14">
    <cfRule type="expression" dxfId="530" priority="3041" stopIfTrue="1">
      <formula>RiskIsOutput</formula>
    </cfRule>
  </conditionalFormatting>
  <conditionalFormatting sqref="AF14">
    <cfRule type="expression" dxfId="529" priority="3042" stopIfTrue="1">
      <formula>RiskIsOutput</formula>
    </cfRule>
  </conditionalFormatting>
  <conditionalFormatting sqref="B15">
    <cfRule type="expression" dxfId="528" priority="3043" stopIfTrue="1">
      <formula>RiskIsOutput</formula>
    </cfRule>
  </conditionalFormatting>
  <conditionalFormatting sqref="C15">
    <cfRule type="expression" dxfId="527" priority="3044" stopIfTrue="1">
      <formula>RiskIsOutput</formula>
    </cfRule>
  </conditionalFormatting>
  <conditionalFormatting sqref="D15">
    <cfRule type="expression" dxfId="526" priority="3045" stopIfTrue="1">
      <formula>RiskIsOutput</formula>
    </cfRule>
  </conditionalFormatting>
  <conditionalFormatting sqref="E15">
    <cfRule type="expression" dxfId="525" priority="3046" stopIfTrue="1">
      <formula>RiskIsOutput</formula>
    </cfRule>
  </conditionalFormatting>
  <conditionalFormatting sqref="F15">
    <cfRule type="expression" dxfId="524" priority="3047" stopIfTrue="1">
      <formula>RiskIsOutput</formula>
    </cfRule>
  </conditionalFormatting>
  <conditionalFormatting sqref="G15">
    <cfRule type="expression" dxfId="523" priority="3048" stopIfTrue="1">
      <formula>RiskIsOutput</formula>
    </cfRule>
  </conditionalFormatting>
  <conditionalFormatting sqref="H15">
    <cfRule type="expression" dxfId="522" priority="3049" stopIfTrue="1">
      <formula>RiskIsOutput</formula>
    </cfRule>
  </conditionalFormatting>
  <conditionalFormatting sqref="I15">
    <cfRule type="expression" dxfId="521" priority="3050" stopIfTrue="1">
      <formula>RiskIsOutput</formula>
    </cfRule>
  </conditionalFormatting>
  <conditionalFormatting sqref="J15">
    <cfRule type="expression" dxfId="520" priority="3051" stopIfTrue="1">
      <formula>RiskIsOutput</formula>
    </cfRule>
  </conditionalFormatting>
  <conditionalFormatting sqref="K15">
    <cfRule type="expression" dxfId="519" priority="3052" stopIfTrue="1">
      <formula>RiskIsOutput</formula>
    </cfRule>
  </conditionalFormatting>
  <conditionalFormatting sqref="L15">
    <cfRule type="expression" dxfId="518" priority="3053" stopIfTrue="1">
      <formula>RiskIsOutput</formula>
    </cfRule>
  </conditionalFormatting>
  <conditionalFormatting sqref="M15">
    <cfRule type="expression" dxfId="517" priority="3054" stopIfTrue="1">
      <formula>RiskIsOutput</formula>
    </cfRule>
  </conditionalFormatting>
  <conditionalFormatting sqref="N15">
    <cfRule type="expression" dxfId="516" priority="3055" stopIfTrue="1">
      <formula>RiskIsOutput</formula>
    </cfRule>
  </conditionalFormatting>
  <conditionalFormatting sqref="O15">
    <cfRule type="expression" dxfId="515" priority="3056" stopIfTrue="1">
      <formula>RiskIsOutput</formula>
    </cfRule>
  </conditionalFormatting>
  <conditionalFormatting sqref="P15">
    <cfRule type="expression" dxfId="514" priority="3057" stopIfTrue="1">
      <formula>RiskIsOutput</formula>
    </cfRule>
  </conditionalFormatting>
  <conditionalFormatting sqref="Q15">
    <cfRule type="expression" dxfId="513" priority="3058" stopIfTrue="1">
      <formula>RiskIsOutput</formula>
    </cfRule>
  </conditionalFormatting>
  <conditionalFormatting sqref="R15">
    <cfRule type="expression" dxfId="512" priority="3059" stopIfTrue="1">
      <formula>RiskIsOutput</formula>
    </cfRule>
  </conditionalFormatting>
  <conditionalFormatting sqref="S15">
    <cfRule type="expression" dxfId="511" priority="3060" stopIfTrue="1">
      <formula>RiskIsOutput</formula>
    </cfRule>
  </conditionalFormatting>
  <conditionalFormatting sqref="T15">
    <cfRule type="expression" dxfId="510" priority="3061" stopIfTrue="1">
      <formula>RiskIsOutput</formula>
    </cfRule>
  </conditionalFormatting>
  <conditionalFormatting sqref="U15">
    <cfRule type="expression" dxfId="509" priority="3062" stopIfTrue="1">
      <formula>RiskIsOutput</formula>
    </cfRule>
  </conditionalFormatting>
  <conditionalFormatting sqref="V15">
    <cfRule type="expression" dxfId="508" priority="3063" stopIfTrue="1">
      <formula>RiskIsOutput</formula>
    </cfRule>
  </conditionalFormatting>
  <conditionalFormatting sqref="W15">
    <cfRule type="expression" dxfId="507" priority="3064" stopIfTrue="1">
      <formula>RiskIsOutput</formula>
    </cfRule>
  </conditionalFormatting>
  <conditionalFormatting sqref="X15">
    <cfRule type="expression" dxfId="506" priority="3065" stopIfTrue="1">
      <formula>RiskIsOutput</formula>
    </cfRule>
  </conditionalFormatting>
  <conditionalFormatting sqref="Y15">
    <cfRule type="expression" dxfId="505" priority="3066" stopIfTrue="1">
      <formula>RiskIsOutput</formula>
    </cfRule>
  </conditionalFormatting>
  <conditionalFormatting sqref="Z15">
    <cfRule type="expression" dxfId="504" priority="3067" stopIfTrue="1">
      <formula>RiskIsOutput</formula>
    </cfRule>
  </conditionalFormatting>
  <conditionalFormatting sqref="AA15">
    <cfRule type="expression" dxfId="503" priority="3068" stopIfTrue="1">
      <formula>RiskIsOutput</formula>
    </cfRule>
  </conditionalFormatting>
  <conditionalFormatting sqref="AB15">
    <cfRule type="expression" dxfId="502" priority="3069" stopIfTrue="1">
      <formula>RiskIsOutput</formula>
    </cfRule>
  </conditionalFormatting>
  <conditionalFormatting sqref="AC15">
    <cfRule type="expression" dxfId="501" priority="3070" stopIfTrue="1">
      <formula>RiskIsOutput</formula>
    </cfRule>
  </conditionalFormatting>
  <conditionalFormatting sqref="AD15">
    <cfRule type="expression" dxfId="500" priority="3071" stopIfTrue="1">
      <formula>RiskIsOutput</formula>
    </cfRule>
  </conditionalFormatting>
  <conditionalFormatting sqref="AE15">
    <cfRule type="expression" dxfId="499" priority="3072" stopIfTrue="1">
      <formula>RiskIsOutput</formula>
    </cfRule>
  </conditionalFormatting>
  <conditionalFormatting sqref="AF15">
    <cfRule type="expression" dxfId="498" priority="3073" stopIfTrue="1">
      <formula>RiskIsOutput</formula>
    </cfRule>
  </conditionalFormatting>
  <conditionalFormatting sqref="B19">
    <cfRule type="expression" dxfId="497" priority="3074" stopIfTrue="1">
      <formula>RiskIsOutput</formula>
    </cfRule>
  </conditionalFormatting>
  <conditionalFormatting sqref="C19">
    <cfRule type="expression" dxfId="496" priority="3075" stopIfTrue="1">
      <formula>RiskIsOutput</formula>
    </cfRule>
  </conditionalFormatting>
  <conditionalFormatting sqref="D19">
    <cfRule type="expression" dxfId="495" priority="3076" stopIfTrue="1">
      <formula>RiskIsOutput</formula>
    </cfRule>
  </conditionalFormatting>
  <conditionalFormatting sqref="E19">
    <cfRule type="expression" dxfId="494" priority="3077" stopIfTrue="1">
      <formula>RiskIsOutput</formula>
    </cfRule>
  </conditionalFormatting>
  <conditionalFormatting sqref="F19">
    <cfRule type="expression" dxfId="493" priority="3078" stopIfTrue="1">
      <formula>RiskIsOutput</formula>
    </cfRule>
  </conditionalFormatting>
  <conditionalFormatting sqref="G19">
    <cfRule type="expression" dxfId="492" priority="3079" stopIfTrue="1">
      <formula>RiskIsOutput</formula>
    </cfRule>
  </conditionalFormatting>
  <conditionalFormatting sqref="H19">
    <cfRule type="expression" dxfId="491" priority="3080" stopIfTrue="1">
      <formula>RiskIsOutput</formula>
    </cfRule>
  </conditionalFormatting>
  <conditionalFormatting sqref="I19">
    <cfRule type="expression" dxfId="490" priority="3081" stopIfTrue="1">
      <formula>RiskIsOutput</formula>
    </cfRule>
  </conditionalFormatting>
  <conditionalFormatting sqref="J19">
    <cfRule type="expression" dxfId="489" priority="3082" stopIfTrue="1">
      <formula>RiskIsOutput</formula>
    </cfRule>
  </conditionalFormatting>
  <conditionalFormatting sqref="K19">
    <cfRule type="expression" dxfId="488" priority="3083" stopIfTrue="1">
      <formula>RiskIsOutput</formula>
    </cfRule>
  </conditionalFormatting>
  <conditionalFormatting sqref="L19">
    <cfRule type="expression" dxfId="487" priority="3084" stopIfTrue="1">
      <formula>RiskIsOutput</formula>
    </cfRule>
  </conditionalFormatting>
  <conditionalFormatting sqref="M19">
    <cfRule type="expression" dxfId="486" priority="3085" stopIfTrue="1">
      <formula>RiskIsOutput</formula>
    </cfRule>
  </conditionalFormatting>
  <conditionalFormatting sqref="N19">
    <cfRule type="expression" dxfId="485" priority="3086" stopIfTrue="1">
      <formula>RiskIsOutput</formula>
    </cfRule>
  </conditionalFormatting>
  <conditionalFormatting sqref="O19">
    <cfRule type="expression" dxfId="484" priority="3087" stopIfTrue="1">
      <formula>RiskIsOutput</formula>
    </cfRule>
  </conditionalFormatting>
  <conditionalFormatting sqref="P19">
    <cfRule type="expression" dxfId="483" priority="3088" stopIfTrue="1">
      <formula>RiskIsOutput</formula>
    </cfRule>
  </conditionalFormatting>
  <conditionalFormatting sqref="Q19">
    <cfRule type="expression" dxfId="482" priority="3089" stopIfTrue="1">
      <formula>RiskIsOutput</formula>
    </cfRule>
  </conditionalFormatting>
  <conditionalFormatting sqref="R19">
    <cfRule type="expression" dxfId="481" priority="3090" stopIfTrue="1">
      <formula>RiskIsOutput</formula>
    </cfRule>
  </conditionalFormatting>
  <conditionalFormatting sqref="S19">
    <cfRule type="expression" dxfId="480" priority="3091" stopIfTrue="1">
      <formula>RiskIsOutput</formula>
    </cfRule>
  </conditionalFormatting>
  <conditionalFormatting sqref="T19">
    <cfRule type="expression" dxfId="479" priority="3092" stopIfTrue="1">
      <formula>RiskIsOutput</formula>
    </cfRule>
  </conditionalFormatting>
  <conditionalFormatting sqref="U19">
    <cfRule type="expression" dxfId="478" priority="3093" stopIfTrue="1">
      <formula>RiskIsOutput</formula>
    </cfRule>
  </conditionalFormatting>
  <conditionalFormatting sqref="V19">
    <cfRule type="expression" dxfId="477" priority="3094" stopIfTrue="1">
      <formula>RiskIsOutput</formula>
    </cfRule>
  </conditionalFormatting>
  <conditionalFormatting sqref="W19">
    <cfRule type="expression" dxfId="476" priority="3095" stopIfTrue="1">
      <formula>RiskIsOutput</formula>
    </cfRule>
  </conditionalFormatting>
  <conditionalFormatting sqref="X19">
    <cfRule type="expression" dxfId="475" priority="3096" stopIfTrue="1">
      <formula>RiskIsOutput</formula>
    </cfRule>
  </conditionalFormatting>
  <conditionalFormatting sqref="Y19">
    <cfRule type="expression" dxfId="474" priority="3097" stopIfTrue="1">
      <formula>RiskIsOutput</formula>
    </cfRule>
  </conditionalFormatting>
  <conditionalFormatting sqref="Z19">
    <cfRule type="expression" dxfId="473" priority="3098" stopIfTrue="1">
      <formula>RiskIsOutput</formula>
    </cfRule>
  </conditionalFormatting>
  <conditionalFormatting sqref="AA19">
    <cfRule type="expression" dxfId="472" priority="3099" stopIfTrue="1">
      <formula>RiskIsOutput</formula>
    </cfRule>
  </conditionalFormatting>
  <conditionalFormatting sqref="AB19">
    <cfRule type="expression" dxfId="471" priority="3100" stopIfTrue="1">
      <formula>RiskIsOutput</formula>
    </cfRule>
  </conditionalFormatting>
  <conditionalFormatting sqref="AC19">
    <cfRule type="expression" dxfId="470" priority="3101" stopIfTrue="1">
      <formula>RiskIsOutput</formula>
    </cfRule>
  </conditionalFormatting>
  <conditionalFormatting sqref="AD19">
    <cfRule type="expression" dxfId="469" priority="3102" stopIfTrue="1">
      <formula>RiskIsOutput</formula>
    </cfRule>
  </conditionalFormatting>
  <conditionalFormatting sqref="AE19">
    <cfRule type="expression" dxfId="468" priority="3103" stopIfTrue="1">
      <formula>RiskIsOutput</formula>
    </cfRule>
  </conditionalFormatting>
  <conditionalFormatting sqref="AF19">
    <cfRule type="expression" dxfId="467" priority="3104" stopIfTrue="1">
      <formula>RiskIsOutput</formula>
    </cfRule>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5"/>
  <sheetViews>
    <sheetView workbookViewId="0"/>
  </sheetViews>
  <sheetFormatPr defaultRowHeight="15" x14ac:dyDescent="0.25"/>
  <cols>
    <col min="1" max="1" width="16.42578125" bestFit="1" customWidth="1"/>
    <col min="2" max="2" width="15.5703125" bestFit="1" customWidth="1"/>
    <col min="3" max="8" width="13.5703125" bestFit="1" customWidth="1"/>
    <col min="9" max="32" width="11.85546875" bestFit="1" customWidth="1"/>
  </cols>
  <sheetData>
    <row r="1" spans="1:32" ht="45" x14ac:dyDescent="0.25">
      <c r="A1" s="12" t="s">
        <v>25</v>
      </c>
    </row>
    <row r="2" spans="1:32" x14ac:dyDescent="0.25">
      <c r="B2">
        <v>1995</v>
      </c>
      <c r="C2">
        <v>1996</v>
      </c>
      <c r="D2">
        <v>1997</v>
      </c>
      <c r="E2">
        <v>1998</v>
      </c>
      <c r="F2">
        <v>1999</v>
      </c>
      <c r="G2">
        <v>2000</v>
      </c>
      <c r="H2">
        <v>2001</v>
      </c>
      <c r="I2">
        <v>2002</v>
      </c>
      <c r="J2">
        <v>2003</v>
      </c>
      <c r="K2">
        <v>2004</v>
      </c>
      <c r="L2">
        <v>2005</v>
      </c>
      <c r="M2">
        <v>2006</v>
      </c>
      <c r="N2">
        <v>2007</v>
      </c>
      <c r="O2">
        <v>2008</v>
      </c>
      <c r="P2">
        <v>2009</v>
      </c>
      <c r="Q2">
        <v>2010</v>
      </c>
      <c r="R2">
        <v>2011</v>
      </c>
      <c r="S2">
        <v>2012</v>
      </c>
      <c r="T2">
        <v>2013</v>
      </c>
      <c r="U2">
        <v>2014</v>
      </c>
      <c r="V2">
        <v>2015</v>
      </c>
      <c r="W2">
        <v>2016</v>
      </c>
      <c r="X2">
        <v>2017</v>
      </c>
      <c r="Y2">
        <v>2018</v>
      </c>
      <c r="Z2">
        <v>2019</v>
      </c>
      <c r="AA2">
        <v>2020</v>
      </c>
      <c r="AB2">
        <v>2021</v>
      </c>
      <c r="AC2">
        <v>2022</v>
      </c>
      <c r="AD2">
        <v>2023</v>
      </c>
      <c r="AE2">
        <v>2024</v>
      </c>
      <c r="AF2">
        <v>2025</v>
      </c>
    </row>
    <row r="4" spans="1:32" x14ac:dyDescent="0.25">
      <c r="A4" t="s">
        <v>0</v>
      </c>
      <c r="B4" s="6">
        <f>Sheet2!$D3</f>
        <v>110.5</v>
      </c>
      <c r="C4" s="6">
        <f>Sheet2!$D3</f>
        <v>110.5</v>
      </c>
      <c r="D4" s="6">
        <f>Sheet2!$D3</f>
        <v>110.5</v>
      </c>
      <c r="E4" s="6">
        <f>Sheet2!$D3</f>
        <v>110.5</v>
      </c>
      <c r="F4" s="6">
        <f>Sheet2!$D3</f>
        <v>110.5</v>
      </c>
      <c r="G4" s="6">
        <f>Sheet2!$D3</f>
        <v>110.5</v>
      </c>
      <c r="H4" s="6">
        <f>Sheet2!$D3</f>
        <v>110.5</v>
      </c>
      <c r="I4" s="6">
        <f>Sheet2!$D3</f>
        <v>110.5</v>
      </c>
      <c r="J4" s="6">
        <f>Sheet2!$D3</f>
        <v>110.5</v>
      </c>
      <c r="K4" s="6">
        <f>Sheet2!$D3</f>
        <v>110.5</v>
      </c>
      <c r="L4" s="6">
        <f>Sheet2!$D3</f>
        <v>110.5</v>
      </c>
      <c r="M4" s="6">
        <f>Sheet2!$D3</f>
        <v>110.5</v>
      </c>
      <c r="N4" s="6">
        <f>Sheet2!$D3</f>
        <v>110.5</v>
      </c>
      <c r="O4" s="6">
        <f>Sheet2!$D3</f>
        <v>110.5</v>
      </c>
      <c r="P4" s="6">
        <f>Sheet2!$D3</f>
        <v>110.5</v>
      </c>
      <c r="Q4" s="6">
        <f>Sheet2!$D3</f>
        <v>110.5</v>
      </c>
      <c r="R4" s="6">
        <f>Sheet2!$D3</f>
        <v>110.5</v>
      </c>
      <c r="S4" s="6">
        <f>Sheet2!$D3</f>
        <v>110.5</v>
      </c>
      <c r="T4" s="6">
        <f>Sheet2!$D3</f>
        <v>110.5</v>
      </c>
      <c r="U4" s="6">
        <f>Sheet2!$D3</f>
        <v>110.5</v>
      </c>
      <c r="V4" s="6">
        <f>Sheet2!$D3</f>
        <v>110.5</v>
      </c>
      <c r="W4" s="6">
        <f>Sheet2!$D3</f>
        <v>110.5</v>
      </c>
      <c r="X4" s="6">
        <f>Sheet2!$D3</f>
        <v>110.5</v>
      </c>
      <c r="Y4" s="6">
        <f>Sheet2!$D3</f>
        <v>110.5</v>
      </c>
      <c r="Z4" s="6">
        <f>Sheet2!$D3</f>
        <v>110.5</v>
      </c>
      <c r="AA4" s="6">
        <f>Sheet2!$D3</f>
        <v>110.5</v>
      </c>
      <c r="AB4" s="6">
        <f>Sheet2!$D3</f>
        <v>110.5</v>
      </c>
      <c r="AC4" s="6">
        <f>Sheet2!$D3</f>
        <v>110.5</v>
      </c>
      <c r="AD4" s="6">
        <f>Sheet2!$D3</f>
        <v>110.5</v>
      </c>
      <c r="AE4" s="6">
        <f>Sheet2!$D3</f>
        <v>110.5</v>
      </c>
      <c r="AF4" s="6">
        <f>Sheet2!$D3</f>
        <v>110.5</v>
      </c>
    </row>
    <row r="5" spans="1:32" x14ac:dyDescent="0.25">
      <c r="A5" t="s">
        <v>9</v>
      </c>
      <c r="B5" s="3">
        <v>34.4</v>
      </c>
      <c r="C5" s="3">
        <v>34.4</v>
      </c>
      <c r="D5" s="3">
        <v>34.4</v>
      </c>
      <c r="E5" s="3">
        <v>34.4</v>
      </c>
      <c r="F5" s="3">
        <v>34.4</v>
      </c>
      <c r="G5" s="3">
        <v>34.4</v>
      </c>
      <c r="H5" s="3">
        <v>34.4</v>
      </c>
      <c r="I5" s="3">
        <v>34.4</v>
      </c>
      <c r="J5" s="3">
        <v>34.4</v>
      </c>
      <c r="K5" s="3">
        <v>34.4</v>
      </c>
      <c r="L5" s="3">
        <v>34.4</v>
      </c>
      <c r="M5" s="3">
        <v>34.4</v>
      </c>
      <c r="N5" s="3">
        <v>34.4</v>
      </c>
      <c r="O5" s="3">
        <v>34.4</v>
      </c>
      <c r="P5" s="3">
        <v>34.4</v>
      </c>
      <c r="Q5" s="3">
        <v>34.4</v>
      </c>
      <c r="R5" s="3">
        <v>34.4</v>
      </c>
      <c r="S5" s="3">
        <v>34.4</v>
      </c>
      <c r="T5" s="3">
        <v>34.4</v>
      </c>
      <c r="U5" s="3">
        <v>34.4</v>
      </c>
      <c r="V5" s="3">
        <v>34.4</v>
      </c>
      <c r="W5" s="3">
        <v>34.4</v>
      </c>
      <c r="X5" s="3">
        <v>34.4</v>
      </c>
      <c r="Y5" s="3">
        <v>34.4</v>
      </c>
      <c r="Z5" s="3">
        <v>34.4</v>
      </c>
      <c r="AA5" s="3">
        <v>34.4</v>
      </c>
      <c r="AB5" s="3">
        <v>34.4</v>
      </c>
      <c r="AC5" s="3">
        <v>34.4</v>
      </c>
      <c r="AD5" s="3">
        <v>34.4</v>
      </c>
      <c r="AE5" s="3">
        <v>34.4</v>
      </c>
      <c r="AF5" s="3">
        <v>34.4</v>
      </c>
    </row>
    <row r="6" spans="1:32" x14ac:dyDescent="0.25">
      <c r="A6" t="s">
        <v>20</v>
      </c>
      <c r="B6" s="4">
        <v>0</v>
      </c>
      <c r="C6" s="3">
        <v>0</v>
      </c>
      <c r="D6" s="3">
        <v>-0.5</v>
      </c>
      <c r="E6" s="3">
        <v>-1</v>
      </c>
      <c r="F6" s="3">
        <v>0</v>
      </c>
      <c r="G6" s="3">
        <v>-1</v>
      </c>
      <c r="H6" s="3">
        <v>0</v>
      </c>
      <c r="I6" s="3">
        <v>-1</v>
      </c>
      <c r="J6" s="3">
        <v>0</v>
      </c>
      <c r="K6" s="3">
        <v>-1</v>
      </c>
      <c r="L6" s="3">
        <v>-2</v>
      </c>
      <c r="M6" s="3">
        <v>-2.5</v>
      </c>
      <c r="N6" s="3">
        <v>-3</v>
      </c>
      <c r="O6" s="3">
        <v>-4</v>
      </c>
      <c r="P6" s="3">
        <v>-3</v>
      </c>
      <c r="Q6" s="3">
        <v>-3</v>
      </c>
      <c r="R6" s="3">
        <v>-4</v>
      </c>
      <c r="S6" s="3">
        <v>-3.5</v>
      </c>
      <c r="T6" s="3">
        <v>-2</v>
      </c>
      <c r="U6" s="3">
        <v>-1</v>
      </c>
      <c r="V6" s="3">
        <v>-3</v>
      </c>
      <c r="W6" s="3">
        <v>-4</v>
      </c>
      <c r="X6" s="3">
        <v>-2</v>
      </c>
      <c r="Y6" s="3">
        <v>-4</v>
      </c>
      <c r="Z6" s="3">
        <v>-5</v>
      </c>
      <c r="AA6" s="3">
        <v>-4</v>
      </c>
      <c r="AB6" s="3">
        <v>-4.5</v>
      </c>
      <c r="AC6" s="3">
        <v>-6</v>
      </c>
      <c r="AD6" s="3">
        <v>-7</v>
      </c>
      <c r="AE6" s="3">
        <v>-7</v>
      </c>
      <c r="AF6" s="3">
        <v>-7</v>
      </c>
    </row>
    <row r="7" spans="1:32" x14ac:dyDescent="0.25">
      <c r="A7" t="s">
        <v>8</v>
      </c>
      <c r="B7" s="3">
        <f>B5+B6</f>
        <v>34.4</v>
      </c>
      <c r="C7" s="3">
        <f t="shared" ref="C7:AD7" si="0">C5+C6</f>
        <v>34.4</v>
      </c>
      <c r="D7" s="3">
        <f t="shared" si="0"/>
        <v>33.9</v>
      </c>
      <c r="E7" s="3">
        <f t="shared" si="0"/>
        <v>33.4</v>
      </c>
      <c r="F7" s="3">
        <f t="shared" si="0"/>
        <v>34.4</v>
      </c>
      <c r="G7" s="3">
        <f t="shared" si="0"/>
        <v>33.4</v>
      </c>
      <c r="H7" s="3">
        <f t="shared" si="0"/>
        <v>34.4</v>
      </c>
      <c r="I7" s="3">
        <f t="shared" si="0"/>
        <v>33.4</v>
      </c>
      <c r="J7" s="3">
        <f t="shared" si="0"/>
        <v>34.4</v>
      </c>
      <c r="K7" s="3">
        <f t="shared" si="0"/>
        <v>33.4</v>
      </c>
      <c r="L7" s="3">
        <f t="shared" si="0"/>
        <v>32.4</v>
      </c>
      <c r="M7" s="3">
        <f t="shared" si="0"/>
        <v>31.9</v>
      </c>
      <c r="N7" s="3">
        <f t="shared" si="0"/>
        <v>31.4</v>
      </c>
      <c r="O7" s="3">
        <f t="shared" si="0"/>
        <v>30.4</v>
      </c>
      <c r="P7" s="3">
        <f t="shared" si="0"/>
        <v>31.4</v>
      </c>
      <c r="Q7" s="3">
        <f t="shared" si="0"/>
        <v>31.4</v>
      </c>
      <c r="R7" s="3">
        <f t="shared" si="0"/>
        <v>30.4</v>
      </c>
      <c r="S7" s="3">
        <f t="shared" si="0"/>
        <v>30.9</v>
      </c>
      <c r="T7" s="3">
        <f t="shared" si="0"/>
        <v>32.4</v>
      </c>
      <c r="U7" s="3">
        <f t="shared" si="0"/>
        <v>33.4</v>
      </c>
      <c r="V7" s="3">
        <f t="shared" si="0"/>
        <v>31.4</v>
      </c>
      <c r="W7" s="3">
        <f t="shared" si="0"/>
        <v>30.4</v>
      </c>
      <c r="X7" s="3">
        <f t="shared" si="0"/>
        <v>32.4</v>
      </c>
      <c r="Y7" s="3">
        <f t="shared" si="0"/>
        <v>30.4</v>
      </c>
      <c r="Z7" s="3">
        <f t="shared" si="0"/>
        <v>29.4</v>
      </c>
      <c r="AA7" s="3">
        <f t="shared" si="0"/>
        <v>30.4</v>
      </c>
      <c r="AB7" s="3">
        <f t="shared" si="0"/>
        <v>29.9</v>
      </c>
      <c r="AC7" s="3">
        <f t="shared" si="0"/>
        <v>28.4</v>
      </c>
      <c r="AD7" s="3">
        <f t="shared" si="0"/>
        <v>27.4</v>
      </c>
      <c r="AE7">
        <f t="shared" ref="AE7:AF7" si="1">AD7-0.2</f>
        <v>27.2</v>
      </c>
      <c r="AF7">
        <f t="shared" si="1"/>
        <v>27</v>
      </c>
    </row>
    <row r="8" spans="1:32" x14ac:dyDescent="0.25">
      <c r="A8" t="s">
        <v>10</v>
      </c>
      <c r="B8">
        <f>B7</f>
        <v>34.4</v>
      </c>
      <c r="C8">
        <f>C7</f>
        <v>34.4</v>
      </c>
      <c r="D8">
        <f>D7</f>
        <v>33.9</v>
      </c>
      <c r="E8">
        <f>E7</f>
        <v>33.4</v>
      </c>
      <c r="F8">
        <f>F7</f>
        <v>34.4</v>
      </c>
      <c r="G8">
        <f>G7</f>
        <v>33.4</v>
      </c>
      <c r="H8">
        <f>H7</f>
        <v>34.4</v>
      </c>
      <c r="I8">
        <f>I7</f>
        <v>33.4</v>
      </c>
      <c r="J8">
        <f>J7</f>
        <v>34.4</v>
      </c>
      <c r="K8">
        <f>K7</f>
        <v>33.4</v>
      </c>
      <c r="L8">
        <f>L7</f>
        <v>32.4</v>
      </c>
      <c r="M8">
        <f>M7</f>
        <v>31.9</v>
      </c>
      <c r="N8">
        <f>N7</f>
        <v>31.4</v>
      </c>
      <c r="O8">
        <f>O7</f>
        <v>30.4</v>
      </c>
      <c r="P8">
        <f>P7</f>
        <v>31.4</v>
      </c>
      <c r="Q8">
        <f>Q7</f>
        <v>31.4</v>
      </c>
      <c r="R8">
        <f>R7</f>
        <v>30.4</v>
      </c>
      <c r="S8">
        <f>S7</f>
        <v>30.9</v>
      </c>
      <c r="T8">
        <f>T7</f>
        <v>32.4</v>
      </c>
      <c r="U8">
        <f>U7</f>
        <v>33.4</v>
      </c>
      <c r="V8">
        <f>V7</f>
        <v>31.4</v>
      </c>
      <c r="W8">
        <f>W7</f>
        <v>30.4</v>
      </c>
      <c r="X8">
        <f>X7</f>
        <v>32.4</v>
      </c>
      <c r="Y8">
        <f>Y7</f>
        <v>30.4</v>
      </c>
      <c r="Z8">
        <f>Z7</f>
        <v>29.4</v>
      </c>
      <c r="AA8">
        <f>AA7</f>
        <v>30.4</v>
      </c>
      <c r="AB8">
        <f>AB7</f>
        <v>29.9</v>
      </c>
      <c r="AC8">
        <f>AC7</f>
        <v>28.4</v>
      </c>
      <c r="AD8">
        <f>AD7</f>
        <v>27.4</v>
      </c>
      <c r="AE8">
        <f>AE7</f>
        <v>27.2</v>
      </c>
      <c r="AF8">
        <f>AF7</f>
        <v>27</v>
      </c>
    </row>
    <row r="9" spans="1:32" x14ac:dyDescent="0.25">
      <c r="A9" t="s">
        <v>1</v>
      </c>
      <c r="B9">
        <v>1000</v>
      </c>
      <c r="C9">
        <v>1000</v>
      </c>
      <c r="D9">
        <v>1000</v>
      </c>
      <c r="E9">
        <v>1000</v>
      </c>
      <c r="F9">
        <v>1000</v>
      </c>
      <c r="G9">
        <v>1000</v>
      </c>
      <c r="H9">
        <v>1000</v>
      </c>
      <c r="I9">
        <v>1000</v>
      </c>
      <c r="J9">
        <v>1000</v>
      </c>
      <c r="K9">
        <v>1000</v>
      </c>
      <c r="L9">
        <v>1000</v>
      </c>
      <c r="M9">
        <v>1000</v>
      </c>
      <c r="N9">
        <v>1000</v>
      </c>
      <c r="O9">
        <v>1000</v>
      </c>
      <c r="P9">
        <v>1000</v>
      </c>
      <c r="Q9">
        <v>1000</v>
      </c>
      <c r="R9">
        <v>1000</v>
      </c>
      <c r="S9">
        <v>1000</v>
      </c>
      <c r="T9">
        <v>1000</v>
      </c>
      <c r="U9">
        <v>1000</v>
      </c>
      <c r="V9">
        <v>1000</v>
      </c>
      <c r="W9">
        <v>1000</v>
      </c>
      <c r="X9">
        <v>1000</v>
      </c>
      <c r="Y9">
        <v>1000</v>
      </c>
      <c r="Z9">
        <v>1000</v>
      </c>
      <c r="AA9">
        <v>1000</v>
      </c>
      <c r="AB9">
        <v>1000</v>
      </c>
      <c r="AC9">
        <v>1000</v>
      </c>
      <c r="AD9">
        <v>1000</v>
      </c>
      <c r="AE9">
        <v>1000</v>
      </c>
      <c r="AF9">
        <v>1000</v>
      </c>
    </row>
    <row r="10" spans="1:32" x14ac:dyDescent="0.25">
      <c r="A10" t="s">
        <v>2</v>
      </c>
      <c r="B10">
        <f t="shared" ref="B10:AF10" si="2">B8*B9</f>
        <v>34400</v>
      </c>
      <c r="C10">
        <f t="shared" si="2"/>
        <v>34400</v>
      </c>
      <c r="D10">
        <f t="shared" si="2"/>
        <v>33900</v>
      </c>
      <c r="E10">
        <f t="shared" si="2"/>
        <v>33400</v>
      </c>
      <c r="F10">
        <f t="shared" si="2"/>
        <v>34400</v>
      </c>
      <c r="G10">
        <f t="shared" si="2"/>
        <v>33400</v>
      </c>
      <c r="H10">
        <f t="shared" si="2"/>
        <v>34400</v>
      </c>
      <c r="I10">
        <f t="shared" si="2"/>
        <v>33400</v>
      </c>
      <c r="J10">
        <f t="shared" si="2"/>
        <v>34400</v>
      </c>
      <c r="K10">
        <f t="shared" si="2"/>
        <v>33400</v>
      </c>
      <c r="L10">
        <f t="shared" si="2"/>
        <v>32400</v>
      </c>
      <c r="M10">
        <f t="shared" si="2"/>
        <v>31900</v>
      </c>
      <c r="N10">
        <f t="shared" si="2"/>
        <v>31400</v>
      </c>
      <c r="O10">
        <f t="shared" si="2"/>
        <v>30400</v>
      </c>
      <c r="P10">
        <f t="shared" si="2"/>
        <v>31400</v>
      </c>
      <c r="Q10">
        <f t="shared" si="2"/>
        <v>31400</v>
      </c>
      <c r="R10">
        <f t="shared" si="2"/>
        <v>30400</v>
      </c>
      <c r="S10">
        <f t="shared" si="2"/>
        <v>30900</v>
      </c>
      <c r="T10">
        <f t="shared" si="2"/>
        <v>32400</v>
      </c>
      <c r="U10">
        <f t="shared" si="2"/>
        <v>33400</v>
      </c>
      <c r="V10">
        <f t="shared" si="2"/>
        <v>31400</v>
      </c>
      <c r="W10">
        <f t="shared" si="2"/>
        <v>30400</v>
      </c>
      <c r="X10">
        <f t="shared" si="2"/>
        <v>32400</v>
      </c>
      <c r="Y10">
        <f t="shared" si="2"/>
        <v>30400</v>
      </c>
      <c r="Z10">
        <f t="shared" si="2"/>
        <v>29400</v>
      </c>
      <c r="AA10">
        <f t="shared" si="2"/>
        <v>30400</v>
      </c>
      <c r="AB10">
        <f t="shared" si="2"/>
        <v>29900</v>
      </c>
      <c r="AC10">
        <f t="shared" si="2"/>
        <v>28400</v>
      </c>
      <c r="AD10">
        <f t="shared" si="2"/>
        <v>27400</v>
      </c>
      <c r="AE10">
        <f t="shared" si="2"/>
        <v>27200</v>
      </c>
      <c r="AF10">
        <f t="shared" si="2"/>
        <v>27000</v>
      </c>
    </row>
    <row r="11" spans="1:32" x14ac:dyDescent="0.25">
      <c r="A11" t="s">
        <v>7</v>
      </c>
      <c r="B11" s="1">
        <f t="shared" ref="B11:AF11" si="3">B4*B9</f>
        <v>110500</v>
      </c>
      <c r="C11" s="1">
        <f t="shared" si="3"/>
        <v>110500</v>
      </c>
      <c r="D11" s="1">
        <f t="shared" si="3"/>
        <v>110500</v>
      </c>
      <c r="E11" s="1">
        <f t="shared" si="3"/>
        <v>110500</v>
      </c>
      <c r="F11" s="1">
        <f t="shared" si="3"/>
        <v>110500</v>
      </c>
      <c r="G11" s="1">
        <f t="shared" si="3"/>
        <v>110500</v>
      </c>
      <c r="H11" s="1">
        <f t="shared" si="3"/>
        <v>110500</v>
      </c>
      <c r="I11" s="1">
        <f t="shared" si="3"/>
        <v>110500</v>
      </c>
      <c r="J11" s="1">
        <f t="shared" si="3"/>
        <v>110500</v>
      </c>
      <c r="K11" s="1">
        <f t="shared" si="3"/>
        <v>110500</v>
      </c>
      <c r="L11" s="1">
        <f t="shared" si="3"/>
        <v>110500</v>
      </c>
      <c r="M11" s="1">
        <f t="shared" si="3"/>
        <v>110500</v>
      </c>
      <c r="N11" s="1">
        <f t="shared" si="3"/>
        <v>110500</v>
      </c>
      <c r="O11" s="1">
        <f t="shared" si="3"/>
        <v>110500</v>
      </c>
      <c r="P11" s="1">
        <f t="shared" si="3"/>
        <v>110500</v>
      </c>
      <c r="Q11" s="1">
        <f t="shared" si="3"/>
        <v>110500</v>
      </c>
      <c r="R11" s="1">
        <f t="shared" si="3"/>
        <v>110500</v>
      </c>
      <c r="S11" s="1">
        <f t="shared" si="3"/>
        <v>110500</v>
      </c>
      <c r="T11" s="1">
        <f t="shared" si="3"/>
        <v>110500</v>
      </c>
      <c r="U11" s="1">
        <f t="shared" si="3"/>
        <v>110500</v>
      </c>
      <c r="V11" s="1">
        <f t="shared" si="3"/>
        <v>110500</v>
      </c>
      <c r="W11" s="1">
        <f t="shared" si="3"/>
        <v>110500</v>
      </c>
      <c r="X11" s="1">
        <f t="shared" si="3"/>
        <v>110500</v>
      </c>
      <c r="Y11" s="1">
        <f t="shared" si="3"/>
        <v>110500</v>
      </c>
      <c r="Z11" s="1">
        <f t="shared" si="3"/>
        <v>110500</v>
      </c>
      <c r="AA11" s="1">
        <f t="shared" si="3"/>
        <v>110500</v>
      </c>
      <c r="AB11" s="1">
        <f t="shared" si="3"/>
        <v>110500</v>
      </c>
      <c r="AC11" s="1">
        <f t="shared" si="3"/>
        <v>110500</v>
      </c>
      <c r="AD11" s="1">
        <f t="shared" si="3"/>
        <v>110500</v>
      </c>
      <c r="AE11" s="1">
        <f t="shared" si="3"/>
        <v>110500</v>
      </c>
      <c r="AF11" s="1">
        <f t="shared" si="3"/>
        <v>110500</v>
      </c>
    </row>
    <row r="12" spans="1:32" x14ac:dyDescent="0.25">
      <c r="A12" t="s">
        <v>3</v>
      </c>
      <c r="B12" s="2">
        <f>Sheet2!$D4</f>
        <v>4.3899999999999997</v>
      </c>
      <c r="C12" s="2">
        <f>Sheet2!$D4</f>
        <v>4.3899999999999997</v>
      </c>
      <c r="D12" s="2">
        <f>Sheet2!$D4</f>
        <v>4.3899999999999997</v>
      </c>
      <c r="E12" s="2">
        <f>Sheet2!$D4</f>
        <v>4.3899999999999997</v>
      </c>
      <c r="F12" s="2">
        <f>Sheet2!$D4</f>
        <v>4.3899999999999997</v>
      </c>
      <c r="G12" s="2">
        <f>Sheet2!$D4</f>
        <v>4.3899999999999997</v>
      </c>
      <c r="H12" s="2">
        <f>Sheet2!$D4</f>
        <v>4.3899999999999997</v>
      </c>
      <c r="I12" s="2">
        <f>Sheet2!$D4</f>
        <v>4.3899999999999997</v>
      </c>
      <c r="J12" s="2">
        <f>Sheet2!$D4</f>
        <v>4.3899999999999997</v>
      </c>
      <c r="K12" s="2">
        <f>Sheet2!$D4</f>
        <v>4.3899999999999997</v>
      </c>
      <c r="L12" s="2">
        <f>Sheet2!$D4</f>
        <v>4.3899999999999997</v>
      </c>
      <c r="M12" s="2">
        <f>Sheet2!$D4</f>
        <v>4.3899999999999997</v>
      </c>
      <c r="N12" s="2">
        <f>Sheet2!$D4</f>
        <v>4.3899999999999997</v>
      </c>
      <c r="O12" s="2">
        <f>Sheet2!$D4</f>
        <v>4.3899999999999997</v>
      </c>
      <c r="P12" s="2">
        <f>Sheet2!$D4</f>
        <v>4.3899999999999997</v>
      </c>
      <c r="Q12" s="2">
        <f>Sheet2!$D4</f>
        <v>4.3899999999999997</v>
      </c>
      <c r="R12" s="2">
        <f>Sheet2!$D4</f>
        <v>4.3899999999999997</v>
      </c>
      <c r="S12" s="2">
        <f>Sheet2!$D4</f>
        <v>4.3899999999999997</v>
      </c>
      <c r="T12" s="2">
        <f>Sheet2!$D4</f>
        <v>4.3899999999999997</v>
      </c>
      <c r="U12" s="2">
        <f>Sheet2!$D4</f>
        <v>4.3899999999999997</v>
      </c>
      <c r="V12" s="2">
        <f>Sheet2!$D4</f>
        <v>4.3899999999999997</v>
      </c>
      <c r="W12" s="2">
        <f>Sheet2!$D4</f>
        <v>4.3899999999999997</v>
      </c>
      <c r="X12" s="2">
        <f>Sheet2!$D4</f>
        <v>4.3899999999999997</v>
      </c>
      <c r="Y12" s="2">
        <f>Sheet2!$D4</f>
        <v>4.3899999999999997</v>
      </c>
      <c r="Z12" s="2">
        <f>Sheet2!$D4</f>
        <v>4.3899999999999997</v>
      </c>
      <c r="AA12" s="2">
        <f>Sheet2!$D4</f>
        <v>4.3899999999999997</v>
      </c>
      <c r="AB12" s="2">
        <f>Sheet2!$D4</f>
        <v>4.3899999999999997</v>
      </c>
      <c r="AC12" s="2">
        <f>Sheet2!$D4</f>
        <v>4.3899999999999997</v>
      </c>
      <c r="AD12" s="2">
        <f>Sheet2!$D4</f>
        <v>4.3899999999999997</v>
      </c>
      <c r="AE12" s="2">
        <f>Sheet2!$D4</f>
        <v>4.3899999999999997</v>
      </c>
      <c r="AF12" s="2">
        <f>Sheet2!$D4</f>
        <v>4.3899999999999997</v>
      </c>
    </row>
    <row r="13" spans="1:32" x14ac:dyDescent="0.25">
      <c r="B13" s="2"/>
    </row>
    <row r="14" spans="1:32" x14ac:dyDescent="0.25">
      <c r="A14" t="s">
        <v>4</v>
      </c>
      <c r="B14" s="2">
        <f>B10*B12</f>
        <v>151016</v>
      </c>
      <c r="C14" s="2">
        <f>C10*C12</f>
        <v>151016</v>
      </c>
      <c r="D14" s="2">
        <f>D10*D12</f>
        <v>148821</v>
      </c>
      <c r="E14" s="2">
        <f>E10*E12</f>
        <v>146626</v>
      </c>
      <c r="F14" s="2">
        <f>F10*F12</f>
        <v>151016</v>
      </c>
      <c r="G14" s="2">
        <f>G10*G12</f>
        <v>146626</v>
      </c>
      <c r="H14" s="2">
        <f>H10*H12</f>
        <v>151016</v>
      </c>
      <c r="I14" s="2">
        <f>I10*I12</f>
        <v>146626</v>
      </c>
      <c r="J14" s="2">
        <f>J10*J12</f>
        <v>151016</v>
      </c>
      <c r="K14" s="2">
        <f>K10*K12</f>
        <v>146626</v>
      </c>
      <c r="L14" s="2">
        <f>L10*L12</f>
        <v>142236</v>
      </c>
      <c r="M14" s="2">
        <f>M10*M12</f>
        <v>140041</v>
      </c>
      <c r="N14" s="2">
        <f>N10*N12</f>
        <v>137846</v>
      </c>
      <c r="O14" s="2">
        <f>O10*O12</f>
        <v>133456</v>
      </c>
      <c r="P14" s="2">
        <f>P10*P12</f>
        <v>137846</v>
      </c>
      <c r="Q14" s="2">
        <f>Q10*Q12</f>
        <v>137846</v>
      </c>
      <c r="R14" s="2">
        <f>R10*R12</f>
        <v>133456</v>
      </c>
      <c r="S14" s="2">
        <f>S10*S12</f>
        <v>135651</v>
      </c>
      <c r="T14" s="2">
        <f>T10*T12</f>
        <v>142236</v>
      </c>
      <c r="U14" s="2">
        <f>U10*U12</f>
        <v>146626</v>
      </c>
      <c r="V14" s="2">
        <f>V10*V12</f>
        <v>137846</v>
      </c>
      <c r="W14" s="2">
        <f>W10*W12</f>
        <v>133456</v>
      </c>
      <c r="X14" s="2">
        <f>X10*X12</f>
        <v>142236</v>
      </c>
      <c r="Y14" s="2">
        <f>Y10*Y12</f>
        <v>133456</v>
      </c>
      <c r="Z14" s="2">
        <f>Z10*Z12</f>
        <v>129065.99999999999</v>
      </c>
      <c r="AA14" s="2">
        <f>AA10*AA12</f>
        <v>133456</v>
      </c>
      <c r="AB14" s="2">
        <f>AB10*AB12</f>
        <v>131261</v>
      </c>
      <c r="AC14" s="2">
        <f>AC10*AC12</f>
        <v>124675.99999999999</v>
      </c>
      <c r="AD14" s="2">
        <f>AD10*AD12</f>
        <v>120285.99999999999</v>
      </c>
      <c r="AE14" s="2">
        <f>AE10*AE12</f>
        <v>119407.99999999999</v>
      </c>
      <c r="AF14" s="2">
        <f>AF10*AF12</f>
        <v>118529.99999999999</v>
      </c>
    </row>
    <row r="15" spans="1:32" x14ac:dyDescent="0.25">
      <c r="A15" t="s">
        <v>5</v>
      </c>
      <c r="B15" s="2">
        <f>B14-B11</f>
        <v>40516</v>
      </c>
      <c r="C15" s="2">
        <f>C14-C11</f>
        <v>40516</v>
      </c>
      <c r="D15" s="2">
        <f>D14-D11</f>
        <v>38321</v>
      </c>
      <c r="E15" s="2">
        <f>E14-E11</f>
        <v>36126</v>
      </c>
      <c r="F15" s="2">
        <f>F14-F11</f>
        <v>40516</v>
      </c>
      <c r="G15" s="2">
        <f>G14-G11</f>
        <v>36126</v>
      </c>
      <c r="H15" s="2">
        <f>H14-H11</f>
        <v>40516</v>
      </c>
      <c r="I15" s="2">
        <f>I14-I11</f>
        <v>36126</v>
      </c>
      <c r="J15" s="2">
        <f>J14-J11</f>
        <v>40516</v>
      </c>
      <c r="K15" s="2">
        <f>K14-K11</f>
        <v>36126</v>
      </c>
      <c r="L15" s="2">
        <f>L14-L11</f>
        <v>31736</v>
      </c>
      <c r="M15" s="2">
        <f>M14-M11</f>
        <v>29541</v>
      </c>
      <c r="N15" s="2">
        <f>N14-N11</f>
        <v>27346</v>
      </c>
      <c r="O15" s="2">
        <f>O14-O11</f>
        <v>22956</v>
      </c>
      <c r="P15" s="2">
        <f>P14-P11</f>
        <v>27346</v>
      </c>
      <c r="Q15" s="2">
        <f>Q14-Q11</f>
        <v>27346</v>
      </c>
      <c r="R15" s="2">
        <f>R14-R11</f>
        <v>22956</v>
      </c>
      <c r="S15" s="2">
        <f>S14-S11</f>
        <v>25151</v>
      </c>
      <c r="T15" s="2">
        <f>T14-T11</f>
        <v>31736</v>
      </c>
      <c r="U15" s="2">
        <f>U14-U11</f>
        <v>36126</v>
      </c>
      <c r="V15" s="2">
        <f>V14-V11</f>
        <v>27346</v>
      </c>
      <c r="W15" s="2">
        <f>W14-W11</f>
        <v>22956</v>
      </c>
      <c r="X15" s="2">
        <f>X14-X11</f>
        <v>31736</v>
      </c>
      <c r="Y15" s="2">
        <f>Y14-Y11</f>
        <v>22956</v>
      </c>
      <c r="Z15" s="2">
        <f>Z14-Z11</f>
        <v>18565.999999999985</v>
      </c>
      <c r="AA15" s="2">
        <f>AA14-AA11</f>
        <v>22956</v>
      </c>
      <c r="AB15" s="2">
        <f>AB14-AB11</f>
        <v>20761</v>
      </c>
      <c r="AC15" s="2">
        <f>AC14-AC11</f>
        <v>14175.999999999985</v>
      </c>
      <c r="AD15" s="2">
        <f>AD14-AD11</f>
        <v>9785.9999999999854</v>
      </c>
      <c r="AE15" s="2">
        <f>AE14-AE11</f>
        <v>8907.9999999999854</v>
      </c>
      <c r="AF15" s="2">
        <f>AF14-AF11</f>
        <v>8029.9999999999854</v>
      </c>
    </row>
    <row r="16" spans="1:32" x14ac:dyDescent="0.25">
      <c r="B16" s="2"/>
    </row>
    <row r="19" spans="1:32" x14ac:dyDescent="0.25">
      <c r="A19" t="s">
        <v>6</v>
      </c>
      <c r="B19" s="1">
        <f>NPV(3%,B15:AF15)</f>
        <v>608234.78805349965</v>
      </c>
      <c r="C19" s="1">
        <f>NPV(3%,C15:AF15)</f>
        <v>585965.83169510472</v>
      </c>
      <c r="D19" s="1">
        <f>NPV(3%,D15:AF15)</f>
        <v>563028.80664595764</v>
      </c>
      <c r="E19" s="1">
        <f>NPV(3%,E15:AF15)</f>
        <v>541598.6708453364</v>
      </c>
      <c r="F19" s="1">
        <f>NPV(3%,F15:AF15)</f>
        <v>521720.63097069674</v>
      </c>
      <c r="G19" s="1">
        <f>NPV(3%,G15:AF15)</f>
        <v>496856.24989981763</v>
      </c>
      <c r="H19" s="1">
        <f>NPV(3%,H15:AF15)</f>
        <v>475635.93739681208</v>
      </c>
      <c r="I19" s="1">
        <f>NPV(3%,I15:AF15)</f>
        <v>449389.01551871648</v>
      </c>
      <c r="J19" s="1">
        <f>NPV(3%,J15:AF15)</f>
        <v>426744.68598427798</v>
      </c>
      <c r="K19" s="1">
        <f>NPV(3%,K15:AF15)</f>
        <v>399031.0265638064</v>
      </c>
      <c r="L19" s="1">
        <f>NPV(3%,L15:AO15)</f>
        <v>374875.95736072049</v>
      </c>
      <c r="M19" s="1">
        <f>NPV(3%,M15:AP15)</f>
        <v>354386.2360815421</v>
      </c>
      <c r="N19" s="1">
        <f>NPV(3%,N15:AQ15)</f>
        <v>335476.82316398836</v>
      </c>
      <c r="O19" s="1">
        <f>NPV(3%,O15:AR15)</f>
        <v>318195.12785890809</v>
      </c>
      <c r="P19" s="1">
        <f>NPV(3%,P15:AS15)</f>
        <v>304784.98169467528</v>
      </c>
      <c r="Q19" s="1">
        <f>NPV(3%,Q15:AT15)</f>
        <v>286582.53114551556</v>
      </c>
      <c r="R19" s="1">
        <f>NPV(3%,R15:AU15)</f>
        <v>267834.00707988103</v>
      </c>
      <c r="S19" s="1">
        <f>NPV(3%,S15:AV15)</f>
        <v>252913.02729227749</v>
      </c>
      <c r="T19" s="1">
        <f>NPV(3%,T15:AW15)</f>
        <v>235349.41811104582</v>
      </c>
      <c r="U19" s="1">
        <f>NPV(3%,U15:AX15)</f>
        <v>210673.90065437721</v>
      </c>
      <c r="V19" s="1">
        <f>NPV(3%,V15:AY15)</f>
        <v>180868.11767400854</v>
      </c>
      <c r="W19" s="1">
        <f>NPV(3%,W15:AZ15)</f>
        <v>158948.16120422876</v>
      </c>
      <c r="X19" s="1">
        <f>NPV(3%,X15:BA15)</f>
        <v>140760.60604035566</v>
      </c>
      <c r="Y19" s="1">
        <f>NPV(3%,Y15:BB15)</f>
        <v>113247.4242215663</v>
      </c>
      <c r="Z19" s="1">
        <f>NPV(3%,Z15:BC15)</f>
        <v>93688.846948213308</v>
      </c>
      <c r="AA19" s="1">
        <f>NPV(3%,AA15:BD15)</f>
        <v>77933.512356659703</v>
      </c>
      <c r="AB19" s="1">
        <f>NPV(3%,AB15:BE15)</f>
        <v>57315.517727359504</v>
      </c>
      <c r="AC19" s="1">
        <f>NPV(3%,AC15:BF15)</f>
        <v>38273.983259180291</v>
      </c>
      <c r="AD19" s="1">
        <f>NPV(3%,AD15:BG15)</f>
        <v>25246.202756955721</v>
      </c>
      <c r="AE19" s="1">
        <f>NPV(3%,AE15:BH15)</f>
        <v>16217.588839664408</v>
      </c>
      <c r="AF19" s="1">
        <f>NPV(3%,AF15:BI15)</f>
        <v>7796.1165048543544</v>
      </c>
    </row>
    <row r="20" spans="1:32" x14ac:dyDescent="0.25">
      <c r="B20" s="1"/>
    </row>
    <row r="26" spans="1:32" x14ac:dyDescent="0.25">
      <c r="J26" s="3"/>
    </row>
    <row r="27" spans="1:32" x14ac:dyDescent="0.25">
      <c r="J27" s="3"/>
    </row>
    <row r="28" spans="1:32" x14ac:dyDescent="0.25">
      <c r="J28" s="3"/>
    </row>
    <row r="29" spans="1:32" x14ac:dyDescent="0.25">
      <c r="J29" s="3"/>
    </row>
    <row r="30" spans="1:32" x14ac:dyDescent="0.25">
      <c r="J30" s="3"/>
    </row>
    <row r="31" spans="1:32" x14ac:dyDescent="0.25">
      <c r="J31" s="3"/>
    </row>
    <row r="32" spans="1:32" x14ac:dyDescent="0.25">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row r="45" spans="10:10" x14ac:dyDescent="0.25">
      <c r="J45" s="3"/>
    </row>
    <row r="46" spans="10:10" x14ac:dyDescent="0.25">
      <c r="J46" s="3"/>
    </row>
    <row r="47" spans="10:10" x14ac:dyDescent="0.25">
      <c r="J47" s="3"/>
    </row>
    <row r="48" spans="10:10" x14ac:dyDescent="0.25">
      <c r="J48" s="3"/>
    </row>
    <row r="49" spans="10:10" x14ac:dyDescent="0.25">
      <c r="J49" s="3"/>
    </row>
    <row r="50" spans="10:10" x14ac:dyDescent="0.25">
      <c r="J50" s="3"/>
    </row>
    <row r="51" spans="10:10" x14ac:dyDescent="0.25">
      <c r="J51" s="3"/>
    </row>
    <row r="52" spans="10:10" x14ac:dyDescent="0.25">
      <c r="J52" s="3"/>
    </row>
    <row r="53" spans="10:10" x14ac:dyDescent="0.25">
      <c r="J53" s="3"/>
    </row>
    <row r="54" spans="10:10" x14ac:dyDescent="0.25">
      <c r="J54" s="3"/>
    </row>
    <row r="55" spans="10:10" x14ac:dyDescent="0.25">
      <c r="J55" s="3"/>
    </row>
  </sheetData>
  <conditionalFormatting sqref="A8">
    <cfRule type="expression" dxfId="1530" priority="145" stopIfTrue="1">
      <formula>IF(RiskSelectedNameCell2=CELL("address",$A$8),TRUE)</formula>
    </cfRule>
  </conditionalFormatting>
  <conditionalFormatting sqref="B8">
    <cfRule type="expression" dxfId="466" priority="146" stopIfTrue="1">
      <formula>RiskIsInput</formula>
    </cfRule>
  </conditionalFormatting>
  <conditionalFormatting sqref="C8">
    <cfRule type="expression" dxfId="465" priority="147" stopIfTrue="1">
      <formula>RiskIsInput</formula>
    </cfRule>
  </conditionalFormatting>
  <conditionalFormatting sqref="D8">
    <cfRule type="expression" dxfId="464" priority="148" stopIfTrue="1">
      <formula>RiskIsInput</formula>
    </cfRule>
  </conditionalFormatting>
  <conditionalFormatting sqref="E8">
    <cfRule type="expression" dxfId="463" priority="149" stopIfTrue="1">
      <formula>RiskIsInput</formula>
    </cfRule>
  </conditionalFormatting>
  <conditionalFormatting sqref="F8">
    <cfRule type="expression" dxfId="462" priority="150" stopIfTrue="1">
      <formula>RiskIsInput</formula>
    </cfRule>
  </conditionalFormatting>
  <conditionalFormatting sqref="G8">
    <cfRule type="expression" dxfId="461" priority="151" stopIfTrue="1">
      <formula>RiskIsInput</formula>
    </cfRule>
  </conditionalFormatting>
  <conditionalFormatting sqref="H8">
    <cfRule type="expression" dxfId="460" priority="152" stopIfTrue="1">
      <formula>RiskIsInput</formula>
    </cfRule>
  </conditionalFormatting>
  <conditionalFormatting sqref="I8">
    <cfRule type="expression" dxfId="459" priority="153" stopIfTrue="1">
      <formula>RiskIsInput</formula>
    </cfRule>
  </conditionalFormatting>
  <conditionalFormatting sqref="J8">
    <cfRule type="expression" dxfId="458" priority="154" stopIfTrue="1">
      <formula>RiskIsInput</formula>
    </cfRule>
  </conditionalFormatting>
  <conditionalFormatting sqref="K8">
    <cfRule type="expression" dxfId="457" priority="155" stopIfTrue="1">
      <formula>RiskIsInput</formula>
    </cfRule>
  </conditionalFormatting>
  <conditionalFormatting sqref="L8">
    <cfRule type="expression" dxfId="456" priority="156" stopIfTrue="1">
      <formula>RiskIsInput</formula>
    </cfRule>
  </conditionalFormatting>
  <conditionalFormatting sqref="M8">
    <cfRule type="expression" dxfId="455" priority="157" stopIfTrue="1">
      <formula>RiskIsInput</formula>
    </cfRule>
  </conditionalFormatting>
  <conditionalFormatting sqref="N8">
    <cfRule type="expression" dxfId="454" priority="158" stopIfTrue="1">
      <formula>RiskIsInput</formula>
    </cfRule>
  </conditionalFormatting>
  <conditionalFormatting sqref="O8">
    <cfRule type="expression" dxfId="453" priority="159" stopIfTrue="1">
      <formula>RiskIsInput</formula>
    </cfRule>
  </conditionalFormatting>
  <conditionalFormatting sqref="P8">
    <cfRule type="expression" dxfId="452" priority="160" stopIfTrue="1">
      <formula>RiskIsInput</formula>
    </cfRule>
  </conditionalFormatting>
  <conditionalFormatting sqref="Q8">
    <cfRule type="expression" dxfId="451" priority="161" stopIfTrue="1">
      <formula>RiskIsInput</formula>
    </cfRule>
  </conditionalFormatting>
  <conditionalFormatting sqref="R8">
    <cfRule type="expression" dxfId="450" priority="162" stopIfTrue="1">
      <formula>RiskIsInput</formula>
    </cfRule>
  </conditionalFormatting>
  <conditionalFormatting sqref="S8">
    <cfRule type="expression" dxfId="449" priority="163" stopIfTrue="1">
      <formula>RiskIsInput</formula>
    </cfRule>
  </conditionalFormatting>
  <conditionalFormatting sqref="T8">
    <cfRule type="expression" dxfId="448" priority="164" stopIfTrue="1">
      <formula>RiskIsInput</formula>
    </cfRule>
  </conditionalFormatting>
  <conditionalFormatting sqref="U8">
    <cfRule type="expression" dxfId="447" priority="165" stopIfTrue="1">
      <formula>RiskIsInput</formula>
    </cfRule>
  </conditionalFormatting>
  <conditionalFormatting sqref="V8">
    <cfRule type="expression" dxfId="446" priority="166" stopIfTrue="1">
      <formula>RiskIsInput</formula>
    </cfRule>
  </conditionalFormatting>
  <conditionalFormatting sqref="W8">
    <cfRule type="expression" dxfId="445" priority="167" stopIfTrue="1">
      <formula>RiskIsInput</formula>
    </cfRule>
  </conditionalFormatting>
  <conditionalFormatting sqref="X8">
    <cfRule type="expression" dxfId="444" priority="168" stopIfTrue="1">
      <formula>RiskIsInput</formula>
    </cfRule>
  </conditionalFormatting>
  <conditionalFormatting sqref="Y8">
    <cfRule type="expression" dxfId="443" priority="169" stopIfTrue="1">
      <formula>RiskIsInput</formula>
    </cfRule>
  </conditionalFormatting>
  <conditionalFormatting sqref="Z8">
    <cfRule type="expression" dxfId="442" priority="170" stopIfTrue="1">
      <formula>RiskIsInput</formula>
    </cfRule>
  </conditionalFormatting>
  <conditionalFormatting sqref="AA8">
    <cfRule type="expression" dxfId="441" priority="171" stopIfTrue="1">
      <formula>RiskIsInput</formula>
    </cfRule>
  </conditionalFormatting>
  <conditionalFormatting sqref="AB8">
    <cfRule type="expression" dxfId="440" priority="172" stopIfTrue="1">
      <formula>RiskIsInput</formula>
    </cfRule>
  </conditionalFormatting>
  <conditionalFormatting sqref="AC8">
    <cfRule type="expression" dxfId="439" priority="173" stopIfTrue="1">
      <formula>RiskIsInput</formula>
    </cfRule>
  </conditionalFormatting>
  <conditionalFormatting sqref="AD8">
    <cfRule type="expression" dxfId="438" priority="174" stopIfTrue="1">
      <formula>RiskIsInput</formula>
    </cfRule>
  </conditionalFormatting>
  <conditionalFormatting sqref="AE8">
    <cfRule type="expression" dxfId="437" priority="175" stopIfTrue="1">
      <formula>RiskIsInput</formula>
    </cfRule>
  </conditionalFormatting>
  <conditionalFormatting sqref="AF8">
    <cfRule type="expression" dxfId="436" priority="176" stopIfTrue="1">
      <formula>RiskIsInput</formula>
    </cfRule>
  </conditionalFormatting>
  <conditionalFormatting sqref="B14">
    <cfRule type="expression" dxfId="435" priority="177" stopIfTrue="1">
      <formula>RiskIsOutput</formula>
    </cfRule>
  </conditionalFormatting>
  <conditionalFormatting sqref="C14">
    <cfRule type="expression" dxfId="434" priority="178" stopIfTrue="1">
      <formula>RiskIsOutput</formula>
    </cfRule>
  </conditionalFormatting>
  <conditionalFormatting sqref="D14">
    <cfRule type="expression" dxfId="433" priority="179" stopIfTrue="1">
      <formula>RiskIsOutput</formula>
    </cfRule>
  </conditionalFormatting>
  <conditionalFormatting sqref="E14">
    <cfRule type="expression" dxfId="432" priority="180" stopIfTrue="1">
      <formula>RiskIsOutput</formula>
    </cfRule>
  </conditionalFormatting>
  <conditionalFormatting sqref="F14">
    <cfRule type="expression" dxfId="431" priority="181" stopIfTrue="1">
      <formula>RiskIsOutput</formula>
    </cfRule>
  </conditionalFormatting>
  <conditionalFormatting sqref="G14">
    <cfRule type="expression" dxfId="430" priority="182" stopIfTrue="1">
      <formula>RiskIsOutput</formula>
    </cfRule>
  </conditionalFormatting>
  <conditionalFormatting sqref="H14">
    <cfRule type="expression" dxfId="429" priority="183" stopIfTrue="1">
      <formula>RiskIsOutput</formula>
    </cfRule>
  </conditionalFormatting>
  <conditionalFormatting sqref="I14">
    <cfRule type="expression" dxfId="428" priority="184" stopIfTrue="1">
      <formula>RiskIsOutput</formula>
    </cfRule>
  </conditionalFormatting>
  <conditionalFormatting sqref="J14">
    <cfRule type="expression" dxfId="427" priority="185" stopIfTrue="1">
      <formula>RiskIsOutput</formula>
    </cfRule>
  </conditionalFormatting>
  <conditionalFormatting sqref="K14">
    <cfRule type="expression" dxfId="426" priority="186" stopIfTrue="1">
      <formula>RiskIsOutput</formula>
    </cfRule>
  </conditionalFormatting>
  <conditionalFormatting sqref="L14">
    <cfRule type="expression" dxfId="425" priority="187" stopIfTrue="1">
      <formula>RiskIsOutput</formula>
    </cfRule>
  </conditionalFormatting>
  <conditionalFormatting sqref="M14">
    <cfRule type="expression" dxfId="424" priority="188" stopIfTrue="1">
      <formula>RiskIsOutput</formula>
    </cfRule>
  </conditionalFormatting>
  <conditionalFormatting sqref="N14">
    <cfRule type="expression" dxfId="423" priority="189" stopIfTrue="1">
      <formula>RiskIsOutput</formula>
    </cfRule>
  </conditionalFormatting>
  <conditionalFormatting sqref="O14">
    <cfRule type="expression" dxfId="422" priority="190" stopIfTrue="1">
      <formula>RiskIsOutput</formula>
    </cfRule>
  </conditionalFormatting>
  <conditionalFormatting sqref="P14">
    <cfRule type="expression" dxfId="421" priority="191" stopIfTrue="1">
      <formula>RiskIsOutput</formula>
    </cfRule>
  </conditionalFormatting>
  <conditionalFormatting sqref="Q14">
    <cfRule type="expression" dxfId="420" priority="192" stopIfTrue="1">
      <formula>RiskIsOutput</formula>
    </cfRule>
  </conditionalFormatting>
  <conditionalFormatting sqref="R14">
    <cfRule type="expression" dxfId="419" priority="193" stopIfTrue="1">
      <formula>RiskIsOutput</formula>
    </cfRule>
  </conditionalFormatting>
  <conditionalFormatting sqref="S14">
    <cfRule type="expression" dxfId="418" priority="194" stopIfTrue="1">
      <formula>RiskIsOutput</formula>
    </cfRule>
  </conditionalFormatting>
  <conditionalFormatting sqref="T14">
    <cfRule type="expression" dxfId="417" priority="195" stopIfTrue="1">
      <formula>RiskIsOutput</formula>
    </cfRule>
  </conditionalFormatting>
  <conditionalFormatting sqref="U14">
    <cfRule type="expression" dxfId="416" priority="196" stopIfTrue="1">
      <formula>RiskIsOutput</formula>
    </cfRule>
  </conditionalFormatting>
  <conditionalFormatting sqref="V14">
    <cfRule type="expression" dxfId="415" priority="197" stopIfTrue="1">
      <formula>RiskIsOutput</formula>
    </cfRule>
  </conditionalFormatting>
  <conditionalFormatting sqref="W14">
    <cfRule type="expression" dxfId="414" priority="198" stopIfTrue="1">
      <formula>RiskIsOutput</formula>
    </cfRule>
  </conditionalFormatting>
  <conditionalFormatting sqref="X14">
    <cfRule type="expression" dxfId="413" priority="199" stopIfTrue="1">
      <formula>RiskIsOutput</formula>
    </cfRule>
  </conditionalFormatting>
  <conditionalFormatting sqref="Y14">
    <cfRule type="expression" dxfId="412" priority="200" stopIfTrue="1">
      <formula>RiskIsOutput</formula>
    </cfRule>
  </conditionalFormatting>
  <conditionalFormatting sqref="Z14">
    <cfRule type="expression" dxfId="411" priority="201" stopIfTrue="1">
      <formula>RiskIsOutput</formula>
    </cfRule>
  </conditionalFormatting>
  <conditionalFormatting sqref="AA14">
    <cfRule type="expression" dxfId="410" priority="202" stopIfTrue="1">
      <formula>RiskIsOutput</formula>
    </cfRule>
  </conditionalFormatting>
  <conditionalFormatting sqref="AB14">
    <cfRule type="expression" dxfId="409" priority="203" stopIfTrue="1">
      <formula>RiskIsOutput</formula>
    </cfRule>
  </conditionalFormatting>
  <conditionalFormatting sqref="AC14">
    <cfRule type="expression" dxfId="408" priority="204" stopIfTrue="1">
      <formula>RiskIsOutput</formula>
    </cfRule>
  </conditionalFormatting>
  <conditionalFormatting sqref="AD14">
    <cfRule type="expression" dxfId="407" priority="205" stopIfTrue="1">
      <formula>RiskIsOutput</formula>
    </cfRule>
  </conditionalFormatting>
  <conditionalFormatting sqref="AE14">
    <cfRule type="expression" dxfId="406" priority="206" stopIfTrue="1">
      <formula>RiskIsOutput</formula>
    </cfRule>
  </conditionalFormatting>
  <conditionalFormatting sqref="AF14">
    <cfRule type="expression" dxfId="405" priority="207" stopIfTrue="1">
      <formula>RiskIsOutput</formula>
    </cfRule>
  </conditionalFormatting>
  <conditionalFormatting sqref="B15">
    <cfRule type="expression" dxfId="404" priority="208" stopIfTrue="1">
      <formula>RiskIsOutput</formula>
    </cfRule>
  </conditionalFormatting>
  <conditionalFormatting sqref="C15">
    <cfRule type="expression" dxfId="403" priority="209" stopIfTrue="1">
      <formula>RiskIsOutput</formula>
    </cfRule>
  </conditionalFormatting>
  <conditionalFormatting sqref="D15">
    <cfRule type="expression" dxfId="402" priority="210" stopIfTrue="1">
      <formula>RiskIsOutput</formula>
    </cfRule>
  </conditionalFormatting>
  <conditionalFormatting sqref="E15">
    <cfRule type="expression" dxfId="401" priority="211" stopIfTrue="1">
      <formula>RiskIsOutput</formula>
    </cfRule>
  </conditionalFormatting>
  <conditionalFormatting sqref="F15">
    <cfRule type="expression" dxfId="400" priority="212" stopIfTrue="1">
      <formula>RiskIsOutput</formula>
    </cfRule>
  </conditionalFormatting>
  <conditionalFormatting sqref="G15">
    <cfRule type="expression" dxfId="399" priority="213" stopIfTrue="1">
      <formula>RiskIsOutput</formula>
    </cfRule>
  </conditionalFormatting>
  <conditionalFormatting sqref="H15">
    <cfRule type="expression" dxfId="398" priority="214" stopIfTrue="1">
      <formula>RiskIsOutput</formula>
    </cfRule>
  </conditionalFormatting>
  <conditionalFormatting sqref="I15">
    <cfRule type="expression" dxfId="397" priority="215" stopIfTrue="1">
      <formula>RiskIsOutput</formula>
    </cfRule>
  </conditionalFormatting>
  <conditionalFormatting sqref="J15">
    <cfRule type="expression" dxfId="396" priority="216" stopIfTrue="1">
      <formula>RiskIsOutput</formula>
    </cfRule>
  </conditionalFormatting>
  <conditionalFormatting sqref="K15">
    <cfRule type="expression" dxfId="395" priority="217" stopIfTrue="1">
      <formula>RiskIsOutput</formula>
    </cfRule>
  </conditionalFormatting>
  <conditionalFormatting sqref="L15">
    <cfRule type="expression" dxfId="394" priority="218" stopIfTrue="1">
      <formula>RiskIsOutput</formula>
    </cfRule>
  </conditionalFormatting>
  <conditionalFormatting sqref="M15">
    <cfRule type="expression" dxfId="393" priority="219" stopIfTrue="1">
      <formula>RiskIsOutput</formula>
    </cfRule>
  </conditionalFormatting>
  <conditionalFormatting sqref="N15">
    <cfRule type="expression" dxfId="392" priority="220" stopIfTrue="1">
      <formula>RiskIsOutput</formula>
    </cfRule>
  </conditionalFormatting>
  <conditionalFormatting sqref="O15">
    <cfRule type="expression" dxfId="391" priority="221" stopIfTrue="1">
      <formula>RiskIsOutput</formula>
    </cfRule>
  </conditionalFormatting>
  <conditionalFormatting sqref="P15">
    <cfRule type="expression" dxfId="390" priority="222" stopIfTrue="1">
      <formula>RiskIsOutput</formula>
    </cfRule>
  </conditionalFormatting>
  <conditionalFormatting sqref="Q15">
    <cfRule type="expression" dxfId="389" priority="223" stopIfTrue="1">
      <formula>RiskIsOutput</formula>
    </cfRule>
  </conditionalFormatting>
  <conditionalFormatting sqref="R15">
    <cfRule type="expression" dxfId="388" priority="224" stopIfTrue="1">
      <formula>RiskIsOutput</formula>
    </cfRule>
  </conditionalFormatting>
  <conditionalFormatting sqref="S15">
    <cfRule type="expression" dxfId="387" priority="225" stopIfTrue="1">
      <formula>RiskIsOutput</formula>
    </cfRule>
  </conditionalFormatting>
  <conditionalFormatting sqref="T15">
    <cfRule type="expression" dxfId="386" priority="226" stopIfTrue="1">
      <formula>RiskIsOutput</formula>
    </cfRule>
  </conditionalFormatting>
  <conditionalFormatting sqref="U15">
    <cfRule type="expression" dxfId="385" priority="227" stopIfTrue="1">
      <formula>RiskIsOutput</formula>
    </cfRule>
  </conditionalFormatting>
  <conditionalFormatting sqref="V15">
    <cfRule type="expression" dxfId="384" priority="228" stopIfTrue="1">
      <formula>RiskIsOutput</formula>
    </cfRule>
  </conditionalFormatting>
  <conditionalFormatting sqref="W15">
    <cfRule type="expression" dxfId="383" priority="229" stopIfTrue="1">
      <formula>RiskIsOutput</formula>
    </cfRule>
  </conditionalFormatting>
  <conditionalFormatting sqref="X15">
    <cfRule type="expression" dxfId="382" priority="230" stopIfTrue="1">
      <formula>RiskIsOutput</formula>
    </cfRule>
  </conditionalFormatting>
  <conditionalFormatting sqref="Y15">
    <cfRule type="expression" dxfId="381" priority="231" stopIfTrue="1">
      <formula>RiskIsOutput</formula>
    </cfRule>
  </conditionalFormatting>
  <conditionalFormatting sqref="Z15">
    <cfRule type="expression" dxfId="380" priority="232" stopIfTrue="1">
      <formula>RiskIsOutput</formula>
    </cfRule>
  </conditionalFormatting>
  <conditionalFormatting sqref="AA15">
    <cfRule type="expression" dxfId="379" priority="233" stopIfTrue="1">
      <formula>RiskIsOutput</formula>
    </cfRule>
  </conditionalFormatting>
  <conditionalFormatting sqref="AB15">
    <cfRule type="expression" dxfId="378" priority="234" stopIfTrue="1">
      <formula>RiskIsOutput</formula>
    </cfRule>
  </conditionalFormatting>
  <conditionalFormatting sqref="AC15">
    <cfRule type="expression" dxfId="377" priority="235" stopIfTrue="1">
      <formula>RiskIsOutput</formula>
    </cfRule>
  </conditionalFormatting>
  <conditionalFormatting sqref="AD15">
    <cfRule type="expression" dxfId="376" priority="236" stopIfTrue="1">
      <formula>RiskIsOutput</formula>
    </cfRule>
  </conditionalFormatting>
  <conditionalFormatting sqref="AE15">
    <cfRule type="expression" dxfId="375" priority="237" stopIfTrue="1">
      <formula>RiskIsOutput</formula>
    </cfRule>
  </conditionalFormatting>
  <conditionalFormatting sqref="AF15">
    <cfRule type="expression" dxfId="374" priority="238" stopIfTrue="1">
      <formula>RiskIsOutput</formula>
    </cfRule>
  </conditionalFormatting>
  <conditionalFormatting sqref="B19">
    <cfRule type="expression" dxfId="373" priority="239" stopIfTrue="1">
      <formula>RiskIsOutput</formula>
    </cfRule>
  </conditionalFormatting>
  <conditionalFormatting sqref="C19">
    <cfRule type="expression" dxfId="372" priority="240" stopIfTrue="1">
      <formula>RiskIsOutput</formula>
    </cfRule>
  </conditionalFormatting>
  <conditionalFormatting sqref="D19">
    <cfRule type="expression" dxfId="371" priority="241" stopIfTrue="1">
      <formula>RiskIsOutput</formula>
    </cfRule>
  </conditionalFormatting>
  <conditionalFormatting sqref="E19">
    <cfRule type="expression" dxfId="370" priority="242" stopIfTrue="1">
      <formula>RiskIsOutput</formula>
    </cfRule>
  </conditionalFormatting>
  <conditionalFormatting sqref="F19">
    <cfRule type="expression" dxfId="369" priority="243" stopIfTrue="1">
      <formula>RiskIsOutput</formula>
    </cfRule>
  </conditionalFormatting>
  <conditionalFormatting sqref="G19">
    <cfRule type="expression" dxfId="368" priority="244" stopIfTrue="1">
      <formula>RiskIsOutput</formula>
    </cfRule>
  </conditionalFormatting>
  <conditionalFormatting sqref="H19">
    <cfRule type="expression" dxfId="367" priority="245" stopIfTrue="1">
      <formula>RiskIsOutput</formula>
    </cfRule>
  </conditionalFormatting>
  <conditionalFormatting sqref="I19">
    <cfRule type="expression" dxfId="366" priority="246" stopIfTrue="1">
      <formula>RiskIsOutput</formula>
    </cfRule>
  </conditionalFormatting>
  <conditionalFormatting sqref="J19">
    <cfRule type="expression" dxfId="365" priority="247" stopIfTrue="1">
      <formula>RiskIsOutput</formula>
    </cfRule>
  </conditionalFormatting>
  <conditionalFormatting sqref="K19">
    <cfRule type="expression" dxfId="364" priority="248" stopIfTrue="1">
      <formula>RiskIsOutput</formula>
    </cfRule>
  </conditionalFormatting>
  <conditionalFormatting sqref="L19">
    <cfRule type="expression" dxfId="363" priority="249" stopIfTrue="1">
      <formula>RiskIsOutput</formula>
    </cfRule>
  </conditionalFormatting>
  <conditionalFormatting sqref="M19">
    <cfRule type="expression" dxfId="362" priority="250" stopIfTrue="1">
      <formula>RiskIsOutput</formula>
    </cfRule>
  </conditionalFormatting>
  <conditionalFormatting sqref="N19">
    <cfRule type="expression" dxfId="361" priority="251" stopIfTrue="1">
      <formula>RiskIsOutput</formula>
    </cfRule>
  </conditionalFormatting>
  <conditionalFormatting sqref="O19">
    <cfRule type="expression" dxfId="360" priority="252" stopIfTrue="1">
      <formula>RiskIsOutput</formula>
    </cfRule>
  </conditionalFormatting>
  <conditionalFormatting sqref="P19">
    <cfRule type="expression" dxfId="359" priority="253" stopIfTrue="1">
      <formula>RiskIsOutput</formula>
    </cfRule>
  </conditionalFormatting>
  <conditionalFormatting sqref="Q19">
    <cfRule type="expression" dxfId="358" priority="254" stopIfTrue="1">
      <formula>RiskIsOutput</formula>
    </cfRule>
  </conditionalFormatting>
  <conditionalFormatting sqref="R19">
    <cfRule type="expression" dxfId="357" priority="255" stopIfTrue="1">
      <formula>RiskIsOutput</formula>
    </cfRule>
  </conditionalFormatting>
  <conditionalFormatting sqref="S19">
    <cfRule type="expression" dxfId="356" priority="256" stopIfTrue="1">
      <formula>RiskIsOutput</formula>
    </cfRule>
  </conditionalFormatting>
  <conditionalFormatting sqref="T19">
    <cfRule type="expression" dxfId="355" priority="257" stopIfTrue="1">
      <formula>RiskIsOutput</formula>
    </cfRule>
  </conditionalFormatting>
  <conditionalFormatting sqref="U19">
    <cfRule type="expression" dxfId="354" priority="258" stopIfTrue="1">
      <formula>RiskIsOutput</formula>
    </cfRule>
  </conditionalFormatting>
  <conditionalFormatting sqref="V19">
    <cfRule type="expression" dxfId="353" priority="259" stopIfTrue="1">
      <formula>RiskIsOutput</formula>
    </cfRule>
  </conditionalFormatting>
  <conditionalFormatting sqref="W19">
    <cfRule type="expression" dxfId="352" priority="260" stopIfTrue="1">
      <formula>RiskIsOutput</formula>
    </cfRule>
  </conditionalFormatting>
  <conditionalFormatting sqref="X19">
    <cfRule type="expression" dxfId="351" priority="261" stopIfTrue="1">
      <formula>RiskIsOutput</formula>
    </cfRule>
  </conditionalFormatting>
  <conditionalFormatting sqref="Y19">
    <cfRule type="expression" dxfId="350" priority="262" stopIfTrue="1">
      <formula>RiskIsOutput</formula>
    </cfRule>
  </conditionalFormatting>
  <conditionalFormatting sqref="Z19">
    <cfRule type="expression" dxfId="349" priority="263" stopIfTrue="1">
      <formula>RiskIsOutput</formula>
    </cfRule>
  </conditionalFormatting>
  <conditionalFormatting sqref="AA19">
    <cfRule type="expression" dxfId="348" priority="264" stopIfTrue="1">
      <formula>RiskIsOutput</formula>
    </cfRule>
  </conditionalFormatting>
  <conditionalFormatting sqref="AB19">
    <cfRule type="expression" dxfId="347" priority="265" stopIfTrue="1">
      <formula>RiskIsOutput</formula>
    </cfRule>
  </conditionalFormatting>
  <conditionalFormatting sqref="AC19">
    <cfRule type="expression" dxfId="346" priority="266" stopIfTrue="1">
      <formula>RiskIsOutput</formula>
    </cfRule>
  </conditionalFormatting>
  <conditionalFormatting sqref="AD19">
    <cfRule type="expression" dxfId="345" priority="267" stopIfTrue="1">
      <formula>RiskIsOutput</formula>
    </cfRule>
  </conditionalFormatting>
  <conditionalFormatting sqref="AE19">
    <cfRule type="expression" dxfId="344" priority="268" stopIfTrue="1">
      <formula>RiskIsOutput</formula>
    </cfRule>
  </conditionalFormatting>
  <conditionalFormatting sqref="AF19">
    <cfRule type="expression" dxfId="343" priority="269" stopIfTrue="1">
      <formula>RiskIsOutput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RiskSerializationData</vt:lpstr>
      <vt:lpstr>RiskSwappedFuncs</vt:lpstr>
      <vt:lpstr>Model Description</vt:lpstr>
      <vt:lpstr>SW CC no change</vt:lpstr>
      <vt:lpstr>SW SF no change</vt:lpstr>
      <vt:lpstr>WW CC no change</vt:lpstr>
      <vt:lpstr>senseInfo</vt:lpstr>
      <vt:lpstr>SW CC grad</vt:lpstr>
      <vt:lpstr>SW SF grad</vt:lpstr>
      <vt:lpstr>WW CC grad nr</vt:lpstr>
      <vt:lpstr>WW CC grad r</vt:lpstr>
      <vt:lpstr>NPV comparisons</vt:lpstr>
      <vt:lpstr>_@RISKFitInformation</vt:lpstr>
      <vt:lpstr>USDA Farm Spreadsheets</vt:lpstr>
      <vt:lpstr>Sheet2</vt:lpstr>
    </vt:vector>
  </TitlesOfParts>
  <Company>CIRES</Company>
  <LinksUpToDate>false</LinksUpToDate>
  <SharedDoc>false</SharedDoc>
  <HyperlinkBase>C:\Documents and Settings\btravis\My Documents\Analytica\Farm Adapt</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wtravis</dc:creator>
  <cp:lastModifiedBy>wtravis</cp:lastModifiedBy>
  <dcterms:created xsi:type="dcterms:W3CDTF">2013-02-09T23:11:11Z</dcterms:created>
  <dcterms:modified xsi:type="dcterms:W3CDTF">2014-06-06T00:39:28Z</dcterms:modified>
</cp:coreProperties>
</file>