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 windowWidth="13905" windowHeight="3735" firstSheet="2" activeTab="4"/>
  </bookViews>
  <sheets>
    <sheet name="senseInfo" sheetId="2" state="hidden" r:id="rId1"/>
    <sheet name="RiskSerializationData" sheetId="21" state="hidden" r:id="rId2"/>
    <sheet name="Description" sheetId="22" r:id="rId3"/>
    <sheet name="RiskSwappedFuncs" sheetId="23" state="hidden" r:id="rId4"/>
    <sheet name="Model" sheetId="16" r:id="rId5"/>
    <sheet name="_PalUtilTempWorksheet" sheetId="11" state="hidden" r:id="rId6"/>
    <sheet name="RiskSimTable_Inputs" sheetId="18" r:id="rId7"/>
    <sheet name="Graphs" sheetId="17" r:id="rId8"/>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001" hidden="1">"No Change"</definedName>
    <definedName name="_AtRisk_SimSetting_SimName002" hidden="1">"Slow"</definedName>
    <definedName name="_AtRisk_SimSetting_SimName003" hidden="1">"Fast"</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"X4LYKZC5YJZL4CAEF6T4Y7KH"</definedName>
    <definedName name="PTree_PolicySuggestion_IncludeDecisionTable" hidden="1">TRUE</definedName>
    <definedName name="PTree_PolicySuggestion_IncludeOptimalDecisionTree" hidden="1">TRUE</definedName>
    <definedName name="PTree_PolicySuggestion_Model" hidden="1">PTreeObjectReference(PTDecisionTree_2,#REF!)</definedName>
    <definedName name="PTree_PolicySuggestion_StartingNode" hidden="1">PTreeObjectReference(NULL,NULL)</definedName>
    <definedName name="PTree_RiskProfile_IncludeCumulativeChart" hidden="1">TRUE</definedName>
    <definedName name="PTree_RiskProfile_IncludeProbabilityChart" hidden="1">TRUE</definedName>
    <definedName name="PTree_RiskProfile_IncludeStatisticalSummary" hidden="1">FALSE</definedName>
    <definedName name="PTree_RiskProfile_Model" localSheetId="4" hidden="1">PTreeObjectReference(PTDecisionTree_2,#REF!)</definedName>
    <definedName name="PTree_RiskProfile_Model" hidden="1">PTreeObjectReference(PTDecisionTree_2,#REF!)</definedName>
    <definedName name="PTree_RiskProfile_PathsToAnalyze" hidden="1">1</definedName>
    <definedName name="PTree_RiskProfile_StartingNode" localSheetId="4" hidden="1">PTreeObjectReference(NULL,NULL)</definedName>
    <definedName name="PTree_RiskProfile_StartingNode" hidden="1">PTreeObjectReference(NULL,NULL)</definedName>
    <definedName name="PTree_SensitivityAnalysis_AnalysisType" hidden="1">1</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"WW Insurance Premium"</definedName>
    <definedName name="PTree_SensitivityAnalysis_Inputs_1_BaseValueIsAutomatic" hidden="1">FALSE</definedName>
    <definedName name="PTree_SensitivityAnalysis_Inputs_1_MaintainProbabilityNormalization" hidden="1">FALSE</definedName>
    <definedName name="PTree_SensitivityAnalysis_Inputs_1_ManualBaseValue" hidden="1">1</definedName>
    <definedName name="PTree_SensitivityAnalysis_Inputs_1_Maximum" hidden="1">2</definedName>
    <definedName name="PTree_SensitivityAnalysis_Inputs_1_Minimum" hidden="1">0</definedName>
    <definedName name="PTree_SensitivityAnalysis_Inputs_1_OneWayAnalysis" hidden="1">0</definedName>
    <definedName name="PTree_SensitivityAnalysis_Inputs_1_Steps" hidden="1">25</definedName>
    <definedName name="PTree_SensitivityAnalysis_Inputs_1_TwoWayAnalysis" hidden="1">0</definedName>
    <definedName name="PTree_SensitivityAnalysis_Inputs_1_VariationMethod" hidden="1">1</definedName>
    <definedName name="PTree_SensitivityAnalysis_Inputs_1_VaryCell" hidden="1">#REF!</definedName>
    <definedName name="PTree_SensitivityAnalysis_Inputs_2_AlternateCellLabel" hidden="1">"Base Yield"</definedName>
    <definedName name="PTree_SensitivityAnalysis_Inputs_2_BaseValueIsAutomatic" hidden="1">TRUE</definedName>
    <definedName name="PTree_SensitivityAnalysis_Inputs_2_MaintainProbabilityNormalization" hidden="1">FALSE</definedName>
    <definedName name="PTree_SensitivityAnalysis_Inputs_2_ManualBaseValue" hidden="1">0</definedName>
    <definedName name="PTree_SensitivityAnalysis_Inputs_2_Maximum" hidden="1">45</definedName>
    <definedName name="PTree_SensitivityAnalysis_Inputs_2_Minimum" hidden="1">30</definedName>
    <definedName name="PTree_SensitivityAnalysis_Inputs_2_OneWayAnalysis" hidden="1">0</definedName>
    <definedName name="PTree_SensitivityAnalysis_Inputs_2_Steps" hidden="1">15</definedName>
    <definedName name="PTree_SensitivityAnalysis_Inputs_2_TwoWayAnalysis" hidden="1">1</definedName>
    <definedName name="PTree_SensitivityAnalysis_Inputs_2_VariationMethod" hidden="1">2</definedName>
    <definedName name="PTree_SensitivityAnalysis_Inputs_2_VaryCell" hidden="1">#REF!</definedName>
    <definedName name="PTree_SensitivityAnalysis_Inputs_3_AlternateCellLabel" hidden="1">"Base Price"</definedName>
    <definedName name="PTree_SensitivityAnalysis_Inputs_3_BaseValueIsAutomatic" hidden="1">TRUE</definedName>
    <definedName name="PTree_SensitivityAnalysis_Inputs_3_MaintainProbabilityNormalization" hidden="1">FALSE</definedName>
    <definedName name="PTree_SensitivityAnalysis_Inputs_3_ManualBaseValue" hidden="1">0</definedName>
    <definedName name="PTree_SensitivityAnalysis_Inputs_3_Maximum" hidden="1">25</definedName>
    <definedName name="PTree_SensitivityAnalysis_Inputs_3_Minimum" hidden="1">-25</definedName>
    <definedName name="PTree_SensitivityAnalysis_Inputs_3_OneWayAnalysis" hidden="1">0</definedName>
    <definedName name="PTree_SensitivityAnalysis_Inputs_3_Steps" hidden="1">11</definedName>
    <definedName name="PTree_SensitivityAnalysis_Inputs_3_TwoWayAnalysis" hidden="1">0</definedName>
    <definedName name="PTree_SensitivityAnalysis_Inputs_3_VariationMethod" hidden="1">0</definedName>
    <definedName name="PTree_SensitivityAnalysis_Inputs_3_VaryCell" hidden="1">#REF!</definedName>
    <definedName name="PTree_SensitivityAnalysis_Inputs_4_AlternateCellLabel" hidden="1">"p winterkill"</definedName>
    <definedName name="PTree_SensitivityAnalysis_Inputs_4_BaseValueIsAutomatic" hidden="1">TRUE</definedName>
    <definedName name="PTree_SensitivityAnalysis_Inputs_4_MaintainProbabilityNormalization" hidden="1">FALSE</definedName>
    <definedName name="PTree_SensitivityAnalysis_Inputs_4_ManualBaseValue" hidden="1">0</definedName>
    <definedName name="PTree_SensitivityAnalysis_Inputs_4_Maximum" hidden="1">0.3</definedName>
    <definedName name="PTree_SensitivityAnalysis_Inputs_4_Minimum" hidden="1">0</definedName>
    <definedName name="PTree_SensitivityAnalysis_Inputs_4_OneWayAnalysis" hidden="1">1</definedName>
    <definedName name="PTree_SensitivityAnalysis_Inputs_4_Steps" hidden="1">15</definedName>
    <definedName name="PTree_SensitivityAnalysis_Inputs_4_TwoWayAnalysis" hidden="1">2</definedName>
    <definedName name="PTree_SensitivityAnalysis_Inputs_4_VariationMethod" hidden="1">2</definedName>
    <definedName name="PTree_SensitivityAnalysis_Inputs_4_VaryCell" hidden="1">#REF!</definedName>
    <definedName name="PTree_SensitivityAnalysis_Inputs_5_AlternateCellLabel" hidden="1">"WW Yield Premium"</definedName>
    <definedName name="PTree_SensitivityAnalysis_Inputs_5_BaseValueIsAutomatic" hidden="1">TRUE</definedName>
    <definedName name="PTree_SensitivityAnalysis_Inputs_5_MaintainProbabilityNormalization" hidden="1">FALSE</definedName>
    <definedName name="PTree_SensitivityAnalysis_Inputs_5_ManualBaseValue" hidden="1">0</definedName>
    <definedName name="PTree_SensitivityAnalysis_Inputs_5_Maximum" hidden="1">2</definedName>
    <definedName name="PTree_SensitivityAnalysis_Inputs_5_Minimum" hidden="1">1</definedName>
    <definedName name="PTree_SensitivityAnalysis_Inputs_5_OneWayAnalysis" hidden="1">0</definedName>
    <definedName name="PTree_SensitivityAnalysis_Inputs_5_Steps" hidden="1">25</definedName>
    <definedName name="PTree_SensitivityAnalysis_Inputs_5_TwoWayAnalysis" hidden="1">0</definedName>
    <definedName name="PTree_SensitivityAnalysis_Inputs_5_VariationMethod" hidden="1">2</definedName>
    <definedName name="PTree_SensitivityAnalysis_Inputs_5_VaryCell" localSheetId="4" hidden="1">#REF!</definedName>
    <definedName name="PTree_SensitivityAnalysis_Inputs_5_VaryCell" hidden="1">#REF!</definedName>
    <definedName name="PTree_SensitivityAnalysis_Inputs_6_AlternateCellLabel" hidden="1">""</definedName>
    <definedName name="PTree_SensitivityAnalysis_Inputs_6_BaseValueIsAutomatic" hidden="1">TRUE</definedName>
    <definedName name="PTree_SensitivityAnalysis_Inputs_6_MaintainProbabilityNormalization" hidden="1">FALSE</definedName>
    <definedName name="PTree_SensitivityAnalysis_Inputs_6_ManualBaseValue" hidden="1">0</definedName>
    <definedName name="PTree_SensitivityAnalysis_Inputs_6_Maximum" hidden="1">4</definedName>
    <definedName name="PTree_SensitivityAnalysis_Inputs_6_Minimum" hidden="1">1</definedName>
    <definedName name="PTree_SensitivityAnalysis_Inputs_6_OneWayAnalysis" hidden="1">0</definedName>
    <definedName name="PTree_SensitivityAnalysis_Inputs_6_Steps" hidden="1">40</definedName>
    <definedName name="PTree_SensitivityAnalysis_Inputs_6_TwoWayAnalysis" hidden="1">0</definedName>
    <definedName name="PTree_SensitivityAnalysis_Inputs_6_VariationMethod" hidden="1">2</definedName>
    <definedName name="PTree_SensitivityAnalysis_Inputs_6_VaryCell" hidden="1">#REF!</definedName>
    <definedName name="PTree_SensitivityAnalysis_Inputs_Count" hidden="1">6</definedName>
    <definedName name="PTree_SensitivityAnalysis_Output_AlternateCellLabel" hidden="1">""</definedName>
    <definedName name="PTree_SensitivityAnalysis_Output_Model" localSheetId="4" hidden="1">PTreeObjectReference(PTDecisionTree_3,#REF!)</definedName>
    <definedName name="PTree_SensitivityAnalysis_Output_Model" hidden="1">PTreeObjectReference(PTDecisionTree_2,#REF!)</definedName>
    <definedName name="PTree_SensitivityAnalysis_Output_OutputType" hidden="1">1</definedName>
    <definedName name="PTree_SensitivityAnalysis_Output_StartingNode" localSheetId="4" hidden="1">PTreeObjectReference(NULL,NULL)</definedName>
    <definedName name="PTree_SensitivityAnalysis_Output_StartingNode" hidden="1">PTreeObjectReference(NULL,NULL)</definedName>
    <definedName name="PTree_SensitivityAnalysis_UpdateDisplay" hidden="1">FALSE</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TRUE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TRUE</definedName>
    <definedName name="RiskMultipleCPUSupportEnabled" hidden="1">TRUE</definedName>
    <definedName name="RiskNumIterations" hidden="1">1000</definedName>
    <definedName name="RiskNumSimulations" hidden="1">3</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treeList" hidden="1">"00000000000000000000000000000000000000000000000000000000000000000000000000000000000000000000000000000000000000000000000000000000000000000000000000000000000000000000000000000000000000000000000000000000"</definedName>
    <definedName name="ww" hidden="1">PTreeObjectReference(PTDecisionTree_2,#REF!)</definedName>
  </definedNames>
  <calcPr calcId="145621"/>
</workbook>
</file>

<file path=xl/calcChain.xml><?xml version="1.0" encoding="utf-8"?>
<calcChain xmlns="http://schemas.openxmlformats.org/spreadsheetml/2006/main">
  <c r="RO2" i="23" l="1"/>
  <c r="RS2" i="23"/>
  <c r="VG2" i="23"/>
  <c r="VK2" i="23"/>
  <c r="YY2" i="23"/>
  <c r="ABK2" i="23"/>
  <c r="ABO2" i="23"/>
  <c r="AEA2" i="23"/>
  <c r="AMO2" i="23"/>
  <c r="AMQ2" i="23"/>
  <c r="AOG2" i="23"/>
  <c r="APY2" i="23"/>
  <c r="ARM2" i="23"/>
  <c r="ARO2" i="23"/>
  <c r="ATC2" i="23"/>
  <c r="AUK2" i="23"/>
  <c r="AVO2" i="23"/>
  <c r="AXS2" i="23"/>
  <c r="AYW2" i="23"/>
  <c r="BFI2" i="23"/>
  <c r="BFK2" i="23"/>
  <c r="BFY2" i="23"/>
  <c r="BGK2" i="23"/>
  <c r="BHE2" i="23"/>
  <c r="BHI2" i="23"/>
  <c r="BHU2" i="23"/>
  <c r="BIE2" i="23"/>
  <c r="BIG2" i="23"/>
  <c r="BJC2" i="23"/>
  <c r="BJE2" i="23"/>
  <c r="BMU2" i="23"/>
  <c r="BNI2" i="23"/>
  <c r="BOQ2" i="23"/>
  <c r="BOS2" i="23"/>
  <c r="BPE2" i="23"/>
  <c r="BPO2" i="23"/>
  <c r="BQK2" i="23"/>
  <c r="BRC2" i="23"/>
  <c r="BRE2" i="23"/>
  <c r="BRQ2" i="23"/>
  <c r="BRU2" i="23"/>
  <c r="BRW2" i="23"/>
  <c r="BSG2" i="23"/>
  <c r="BSM2" i="23"/>
  <c r="BXI2" i="23"/>
  <c r="BXK2" i="23"/>
  <c r="BXW2" i="23"/>
  <c r="BYO2" i="23"/>
  <c r="BYQ2" i="23"/>
  <c r="BZC2" i="23"/>
  <c r="BZU2" i="23"/>
  <c r="BZW2" i="23"/>
  <c r="CAI2" i="23"/>
  <c r="CBA2" i="23"/>
  <c r="CBC2" i="23"/>
  <c r="CBO2" i="23"/>
  <c r="CCG2" i="23"/>
  <c r="CCI2" i="23"/>
  <c r="CCU2" i="23"/>
  <c r="CDM2" i="23"/>
  <c r="CDO2" i="23"/>
  <c r="CEA2" i="23"/>
  <c r="CES2" i="23"/>
  <c r="CEU2" i="23"/>
  <c r="CFG2" i="23"/>
  <c r="CFY2" i="23"/>
  <c r="CGA2" i="23"/>
  <c r="CGM2" i="23"/>
  <c r="CHE2" i="23"/>
  <c r="CHG2" i="23"/>
  <c r="CHS2" i="23"/>
  <c r="CIK2" i="23"/>
  <c r="CIM2" i="23"/>
  <c r="CIY2" i="23"/>
  <c r="CJQ2" i="23"/>
  <c r="CJS2" i="23"/>
  <c r="CKE2" i="23"/>
  <c r="CKW2" i="23"/>
  <c r="CKY2" i="23"/>
  <c r="CLK2" i="23"/>
  <c r="CLO2" i="23"/>
  <c r="CMC2" i="23"/>
  <c r="CME2" i="23"/>
  <c r="CMQ2" i="23"/>
  <c r="CMU2" i="23"/>
  <c r="CNI2" i="23"/>
  <c r="CNK2" i="23"/>
  <c r="CNW2" i="23"/>
  <c r="COA2" i="23"/>
  <c r="COO2" i="23"/>
  <c r="COQ2" i="23"/>
  <c r="CPC2" i="23"/>
  <c r="CPG2" i="23"/>
  <c r="CPU2" i="23"/>
  <c r="CPW2" i="23"/>
  <c r="CQI2" i="23"/>
  <c r="CQM2" i="23"/>
  <c r="CQQ2" i="23"/>
  <c r="CRA2" i="23"/>
  <c r="CRC2" i="23"/>
  <c r="CRO2" i="23"/>
  <c r="CRS2" i="23"/>
  <c r="CRW2" i="23"/>
  <c r="CSG2" i="23"/>
  <c r="CSI2" i="23"/>
  <c r="CSU2" i="23"/>
  <c r="CSY2" i="23"/>
  <c r="CTC2" i="23"/>
  <c r="CTM2" i="23"/>
  <c r="CTO2" i="23"/>
  <c r="CUA2" i="23"/>
  <c r="AE85" i="16"/>
  <c r="AD85" i="16"/>
  <c r="AC85" i="16"/>
  <c r="AB85" i="16"/>
  <c r="AA85" i="16"/>
  <c r="Z85" i="16"/>
  <c r="Y85" i="16"/>
  <c r="X85" i="16"/>
  <c r="W85" i="16"/>
  <c r="V85" i="16"/>
  <c r="U85" i="16"/>
  <c r="T85" i="16"/>
  <c r="CTG2" i="23" s="1"/>
  <c r="S85" i="16"/>
  <c r="R85" i="16"/>
  <c r="Q85" i="16"/>
  <c r="P85" i="16"/>
  <c r="O85" i="16"/>
  <c r="N85" i="16"/>
  <c r="M85" i="16"/>
  <c r="L85" i="16"/>
  <c r="K85" i="16"/>
  <c r="J85" i="16"/>
  <c r="I85" i="16"/>
  <c r="H85" i="16"/>
  <c r="G85" i="16"/>
  <c r="F85" i="16"/>
  <c r="E85" i="16"/>
  <c r="D85" i="16"/>
  <c r="C85" i="16"/>
  <c r="CRY2" i="23" s="1"/>
  <c r="B85" i="16"/>
  <c r="AE84" i="16"/>
  <c r="CRU2" i="23" s="1"/>
  <c r="AD84" i="16"/>
  <c r="AC84" i="16"/>
  <c r="CRQ2" i="23" s="1"/>
  <c r="AB84" i="16"/>
  <c r="AA84" i="16"/>
  <c r="CRM2" i="23" s="1"/>
  <c r="Z84" i="16"/>
  <c r="CRK2" i="23" s="1"/>
  <c r="Y84" i="16"/>
  <c r="CRI2" i="23" s="1"/>
  <c r="X84" i="16"/>
  <c r="CRG2" i="23" s="1"/>
  <c r="W84" i="16"/>
  <c r="CRE2" i="23" s="1"/>
  <c r="V84" i="16"/>
  <c r="U84" i="16"/>
  <c r="T84" i="16"/>
  <c r="CQY2" i="23" s="1"/>
  <c r="S84" i="16"/>
  <c r="CQW2" i="23" s="1"/>
  <c r="R84" i="16"/>
  <c r="CQU2" i="23" s="1"/>
  <c r="Q84" i="16"/>
  <c r="CQS2" i="23" s="1"/>
  <c r="P84" i="16"/>
  <c r="O84" i="16"/>
  <c r="CQO2" i="23" s="1"/>
  <c r="N84" i="16"/>
  <c r="M84" i="16"/>
  <c r="CQK2" i="23" s="1"/>
  <c r="L84" i="16"/>
  <c r="K84" i="16"/>
  <c r="CQG2" i="23" s="1"/>
  <c r="J84" i="16"/>
  <c r="CQE2" i="23" s="1"/>
  <c r="I84" i="16"/>
  <c r="CQC2" i="23" s="1"/>
  <c r="H84" i="16"/>
  <c r="CQA2" i="23" s="1"/>
  <c r="G84" i="16"/>
  <c r="CPY2" i="23" s="1"/>
  <c r="F84" i="16"/>
  <c r="E84" i="16"/>
  <c r="D84" i="16"/>
  <c r="CPS2" i="23" s="1"/>
  <c r="C84" i="16"/>
  <c r="CPQ2" i="23" s="1"/>
  <c r="B84" i="16"/>
  <c r="CPO2" i="23" s="1"/>
  <c r="AE83" i="16"/>
  <c r="CPM2" i="23" s="1"/>
  <c r="AD83" i="16"/>
  <c r="AC83" i="16"/>
  <c r="AB83" i="16"/>
  <c r="AA83" i="16"/>
  <c r="Z83" i="16"/>
  <c r="Y83" i="16"/>
  <c r="X83" i="16"/>
  <c r="X8" i="16" s="1"/>
  <c r="AS2" i="23" s="1"/>
  <c r="W83" i="16"/>
  <c r="W8" i="16" s="1"/>
  <c r="AQ2" i="23" s="1"/>
  <c r="V83" i="16"/>
  <c r="U83" i="16"/>
  <c r="T83" i="16"/>
  <c r="S83" i="16"/>
  <c r="R83" i="16"/>
  <c r="Q83" i="16"/>
  <c r="P83" i="16"/>
  <c r="COI2" i="23" s="1"/>
  <c r="O83" i="16"/>
  <c r="N83" i="16"/>
  <c r="M83" i="16"/>
  <c r="L83" i="16"/>
  <c r="K83" i="16"/>
  <c r="J83" i="16"/>
  <c r="I83" i="16"/>
  <c r="H83" i="16"/>
  <c r="G83" i="16"/>
  <c r="F83" i="16"/>
  <c r="E83" i="16"/>
  <c r="D83" i="16"/>
  <c r="C83" i="16"/>
  <c r="B83" i="16"/>
  <c r="AD82" i="16"/>
  <c r="CNE2" i="23" s="1"/>
  <c r="AC82" i="16"/>
  <c r="CNC2" i="23" s="1"/>
  <c r="AB82" i="16"/>
  <c r="CNA2" i="23" s="1"/>
  <c r="AA82" i="16"/>
  <c r="CMY2" i="23" s="1"/>
  <c r="Z82" i="16"/>
  <c r="CMW2" i="23" s="1"/>
  <c r="Y82" i="16"/>
  <c r="X82" i="16"/>
  <c r="CMS2" i="23" s="1"/>
  <c r="W82" i="16"/>
  <c r="V82" i="16"/>
  <c r="CMO2" i="23" s="1"/>
  <c r="U82" i="16"/>
  <c r="CMM2" i="23" s="1"/>
  <c r="T82" i="16"/>
  <c r="CMK2" i="23" s="1"/>
  <c r="S82" i="16"/>
  <c r="CMI2" i="23" s="1"/>
  <c r="R82" i="16"/>
  <c r="CMG2" i="23" s="1"/>
  <c r="Q82" i="16"/>
  <c r="P82" i="16"/>
  <c r="O82" i="16"/>
  <c r="CMA2" i="23" s="1"/>
  <c r="N82" i="16"/>
  <c r="CLY2" i="23" s="1"/>
  <c r="M82" i="16"/>
  <c r="CLW2" i="23" s="1"/>
  <c r="L82" i="16"/>
  <c r="CLU2" i="23" s="1"/>
  <c r="K82" i="16"/>
  <c r="CLS2" i="23" s="1"/>
  <c r="J82" i="16"/>
  <c r="CLQ2" i="23" s="1"/>
  <c r="I82" i="16"/>
  <c r="H82" i="16"/>
  <c r="CLM2" i="23" s="1"/>
  <c r="G82" i="16"/>
  <c r="F82" i="16"/>
  <c r="CLI2" i="23" s="1"/>
  <c r="E82" i="16"/>
  <c r="CLG2" i="23" s="1"/>
  <c r="D82" i="16"/>
  <c r="CLE2" i="23" s="1"/>
  <c r="C82" i="16"/>
  <c r="CLC2" i="23" s="1"/>
  <c r="B82" i="16"/>
  <c r="CLA2" i="23" s="1"/>
  <c r="AE79" i="16"/>
  <c r="AD79" i="16"/>
  <c r="AC79" i="16"/>
  <c r="CKU2" i="23" s="1"/>
  <c r="AB79" i="16"/>
  <c r="CKS2" i="23" s="1"/>
  <c r="AA79" i="16"/>
  <c r="CKQ2" i="23" s="1"/>
  <c r="Z79" i="16"/>
  <c r="CKO2" i="23" s="1"/>
  <c r="Y79" i="16"/>
  <c r="CKM2" i="23" s="1"/>
  <c r="X79" i="16"/>
  <c r="CKK2" i="23" s="1"/>
  <c r="W79" i="16"/>
  <c r="CKI2" i="23" s="1"/>
  <c r="V79" i="16"/>
  <c r="CKG2" i="23" s="1"/>
  <c r="U79" i="16"/>
  <c r="T79" i="16"/>
  <c r="CKC2" i="23" s="1"/>
  <c r="S79" i="16"/>
  <c r="CKA2" i="23" s="1"/>
  <c r="R79" i="16"/>
  <c r="CJY2" i="23" s="1"/>
  <c r="Q79" i="16"/>
  <c r="CJW2" i="23" s="1"/>
  <c r="P79" i="16"/>
  <c r="CJU2" i="23" s="1"/>
  <c r="O79" i="16"/>
  <c r="N79" i="16"/>
  <c r="M79" i="16"/>
  <c r="CJO2" i="23" s="1"/>
  <c r="L79" i="16"/>
  <c r="CJM2" i="23" s="1"/>
  <c r="K79" i="16"/>
  <c r="CJK2" i="23" s="1"/>
  <c r="J79" i="16"/>
  <c r="CJI2" i="23" s="1"/>
  <c r="I79" i="16"/>
  <c r="CJG2" i="23" s="1"/>
  <c r="H79" i="16"/>
  <c r="CJE2" i="23" s="1"/>
  <c r="G79" i="16"/>
  <c r="CJC2" i="23" s="1"/>
  <c r="F79" i="16"/>
  <c r="CJA2" i="23" s="1"/>
  <c r="E79" i="16"/>
  <c r="D79" i="16"/>
  <c r="CIW2" i="23" s="1"/>
  <c r="C79" i="16"/>
  <c r="CIU2" i="23" s="1"/>
  <c r="B79" i="16"/>
  <c r="CIS2" i="23" s="1"/>
  <c r="AE78" i="16"/>
  <c r="CIQ2" i="23" s="1"/>
  <c r="AD78" i="16"/>
  <c r="CIO2" i="23" s="1"/>
  <c r="AC78" i="16"/>
  <c r="AB78" i="16"/>
  <c r="AA78" i="16"/>
  <c r="CII2" i="23" s="1"/>
  <c r="Z78" i="16"/>
  <c r="CIG2" i="23" s="1"/>
  <c r="Y78" i="16"/>
  <c r="CIE2" i="23" s="1"/>
  <c r="X78" i="16"/>
  <c r="CIC2" i="23" s="1"/>
  <c r="W78" i="16"/>
  <c r="CIA2" i="23" s="1"/>
  <c r="V78" i="16"/>
  <c r="CHY2" i="23" s="1"/>
  <c r="U78" i="16"/>
  <c r="CHW2" i="23" s="1"/>
  <c r="T78" i="16"/>
  <c r="CHU2" i="23" s="1"/>
  <c r="S78" i="16"/>
  <c r="R78" i="16"/>
  <c r="CHQ2" i="23" s="1"/>
  <c r="Q78" i="16"/>
  <c r="CHO2" i="23" s="1"/>
  <c r="P78" i="16"/>
  <c r="CHM2" i="23" s="1"/>
  <c r="O78" i="16"/>
  <c r="CHK2" i="23" s="1"/>
  <c r="N78" i="16"/>
  <c r="CHI2" i="23" s="1"/>
  <c r="M78" i="16"/>
  <c r="L78" i="16"/>
  <c r="K78" i="16"/>
  <c r="CHC2" i="23" s="1"/>
  <c r="J78" i="16"/>
  <c r="CHA2" i="23" s="1"/>
  <c r="I78" i="16"/>
  <c r="CGY2" i="23" s="1"/>
  <c r="H78" i="16"/>
  <c r="CGW2" i="23" s="1"/>
  <c r="G78" i="16"/>
  <c r="CGU2" i="23" s="1"/>
  <c r="F78" i="16"/>
  <c r="CGS2" i="23" s="1"/>
  <c r="E78" i="16"/>
  <c r="CGQ2" i="23" s="1"/>
  <c r="D78" i="16"/>
  <c r="CGO2" i="23" s="1"/>
  <c r="C78" i="16"/>
  <c r="B78" i="16"/>
  <c r="CGK2" i="23" s="1"/>
  <c r="AE76" i="16"/>
  <c r="CGI2" i="23" s="1"/>
  <c r="AD76" i="16"/>
  <c r="CGG2" i="23" s="1"/>
  <c r="AC76" i="16"/>
  <c r="CGE2" i="23" s="1"/>
  <c r="AB76" i="16"/>
  <c r="CGC2" i="23" s="1"/>
  <c r="AA76" i="16"/>
  <c r="Z76" i="16"/>
  <c r="Y76" i="16"/>
  <c r="CFW2" i="23" s="1"/>
  <c r="X76" i="16"/>
  <c r="CFU2" i="23" s="1"/>
  <c r="W76" i="16"/>
  <c r="CFS2" i="23" s="1"/>
  <c r="V76" i="16"/>
  <c r="CFQ2" i="23" s="1"/>
  <c r="U76" i="16"/>
  <c r="CFO2" i="23" s="1"/>
  <c r="T76" i="16"/>
  <c r="CFM2" i="23" s="1"/>
  <c r="S76" i="16"/>
  <c r="CFK2" i="23" s="1"/>
  <c r="R76" i="16"/>
  <c r="CFI2" i="23" s="1"/>
  <c r="Q76" i="16"/>
  <c r="P76" i="16"/>
  <c r="CFE2" i="23" s="1"/>
  <c r="O76" i="16"/>
  <c r="CFC2" i="23" s="1"/>
  <c r="N76" i="16"/>
  <c r="CFA2" i="23" s="1"/>
  <c r="M76" i="16"/>
  <c r="CEY2" i="23" s="1"/>
  <c r="L76" i="16"/>
  <c r="CEW2" i="23" s="1"/>
  <c r="K76" i="16"/>
  <c r="J76" i="16"/>
  <c r="I76" i="16"/>
  <c r="CEQ2" i="23" s="1"/>
  <c r="H76" i="16"/>
  <c r="CEO2" i="23" s="1"/>
  <c r="G76" i="16"/>
  <c r="CEM2" i="23" s="1"/>
  <c r="F76" i="16"/>
  <c r="CEK2" i="23" s="1"/>
  <c r="E76" i="16"/>
  <c r="CEI2" i="23" s="1"/>
  <c r="D76" i="16"/>
  <c r="CEG2" i="23" s="1"/>
  <c r="C76" i="16"/>
  <c r="CEE2" i="23" s="1"/>
  <c r="B76" i="16"/>
  <c r="CEC2" i="23" s="1"/>
  <c r="AE75" i="16"/>
  <c r="AD75" i="16"/>
  <c r="CDY2" i="23" s="1"/>
  <c r="AC75" i="16"/>
  <c r="CDW2" i="23" s="1"/>
  <c r="AB75" i="16"/>
  <c r="CDU2" i="23" s="1"/>
  <c r="AA75" i="16"/>
  <c r="CDS2" i="23" s="1"/>
  <c r="Z75" i="16"/>
  <c r="CDQ2" i="23" s="1"/>
  <c r="Y75" i="16"/>
  <c r="X75" i="16"/>
  <c r="W75" i="16"/>
  <c r="CDK2" i="23" s="1"/>
  <c r="V75" i="16"/>
  <c r="CDI2" i="23" s="1"/>
  <c r="U75" i="16"/>
  <c r="CDG2" i="23" s="1"/>
  <c r="T75" i="16"/>
  <c r="CDE2" i="23" s="1"/>
  <c r="S75" i="16"/>
  <c r="CDC2" i="23" s="1"/>
  <c r="R75" i="16"/>
  <c r="CDA2" i="23" s="1"/>
  <c r="Q75" i="16"/>
  <c r="CCY2" i="23" s="1"/>
  <c r="P75" i="16"/>
  <c r="CCW2" i="23" s="1"/>
  <c r="O75" i="16"/>
  <c r="N75" i="16"/>
  <c r="CCS2" i="23" s="1"/>
  <c r="M75" i="16"/>
  <c r="CCQ2" i="23" s="1"/>
  <c r="L75" i="16"/>
  <c r="CCO2" i="23" s="1"/>
  <c r="K75" i="16"/>
  <c r="CCM2" i="23" s="1"/>
  <c r="J75" i="16"/>
  <c r="CCK2" i="23" s="1"/>
  <c r="I75" i="16"/>
  <c r="H75" i="16"/>
  <c r="G75" i="16"/>
  <c r="CCE2" i="23" s="1"/>
  <c r="F75" i="16"/>
  <c r="CCC2" i="23" s="1"/>
  <c r="E75" i="16"/>
  <c r="CCA2" i="23" s="1"/>
  <c r="D75" i="16"/>
  <c r="CBY2" i="23" s="1"/>
  <c r="C75" i="16"/>
  <c r="CBW2" i="23" s="1"/>
  <c r="B75" i="16"/>
  <c r="CBU2" i="23" s="1"/>
  <c r="AE73" i="16"/>
  <c r="CBS2" i="23" s="1"/>
  <c r="AD73" i="16"/>
  <c r="CBQ2" i="23" s="1"/>
  <c r="AC73" i="16"/>
  <c r="AB73" i="16"/>
  <c r="CBM2" i="23" s="1"/>
  <c r="AA73" i="16"/>
  <c r="CBK2" i="23" s="1"/>
  <c r="Z73" i="16"/>
  <c r="CBI2" i="23" s="1"/>
  <c r="Y73" i="16"/>
  <c r="CBG2" i="23" s="1"/>
  <c r="X73" i="16"/>
  <c r="CBE2" i="23" s="1"/>
  <c r="W73" i="16"/>
  <c r="V73" i="16"/>
  <c r="U73" i="16"/>
  <c r="CAY2" i="23" s="1"/>
  <c r="T73" i="16"/>
  <c r="CAW2" i="23" s="1"/>
  <c r="S73" i="16"/>
  <c r="CAU2" i="23" s="1"/>
  <c r="R73" i="16"/>
  <c r="CAS2" i="23" s="1"/>
  <c r="Q73" i="16"/>
  <c r="CAQ2" i="23" s="1"/>
  <c r="P73" i="16"/>
  <c r="CAO2" i="23" s="1"/>
  <c r="O73" i="16"/>
  <c r="CAM2" i="23" s="1"/>
  <c r="N73" i="16"/>
  <c r="CAK2" i="23" s="1"/>
  <c r="M73" i="16"/>
  <c r="L73" i="16"/>
  <c r="CAG2" i="23" s="1"/>
  <c r="K73" i="16"/>
  <c r="CAE2" i="23" s="1"/>
  <c r="J73" i="16"/>
  <c r="CAC2" i="23" s="1"/>
  <c r="I73" i="16"/>
  <c r="CAA2" i="23" s="1"/>
  <c r="H73" i="16"/>
  <c r="BZY2" i="23" s="1"/>
  <c r="G73" i="16"/>
  <c r="F73" i="16"/>
  <c r="E73" i="16"/>
  <c r="BZS2" i="23" s="1"/>
  <c r="D73" i="16"/>
  <c r="BZQ2" i="23" s="1"/>
  <c r="C73" i="16"/>
  <c r="BZO2" i="23" s="1"/>
  <c r="B73" i="16"/>
  <c r="BZM2" i="23" s="1"/>
  <c r="AE72" i="16"/>
  <c r="BZK2" i="23" s="1"/>
  <c r="AD72" i="16"/>
  <c r="BZI2" i="23" s="1"/>
  <c r="AC72" i="16"/>
  <c r="BZG2" i="23" s="1"/>
  <c r="AB72" i="16"/>
  <c r="BZE2" i="23" s="1"/>
  <c r="AA72" i="16"/>
  <c r="Z72" i="16"/>
  <c r="BZA2" i="23" s="1"/>
  <c r="Y72" i="16"/>
  <c r="BYY2" i="23" s="1"/>
  <c r="X72" i="16"/>
  <c r="BYW2" i="23" s="1"/>
  <c r="W72" i="16"/>
  <c r="BYU2" i="23" s="1"/>
  <c r="V72" i="16"/>
  <c r="BYS2" i="23" s="1"/>
  <c r="U72" i="16"/>
  <c r="T72" i="16"/>
  <c r="S72" i="16"/>
  <c r="BYM2" i="23" s="1"/>
  <c r="R72" i="16"/>
  <c r="BYK2" i="23" s="1"/>
  <c r="Q72" i="16"/>
  <c r="BYI2" i="23" s="1"/>
  <c r="P72" i="16"/>
  <c r="BYG2" i="23" s="1"/>
  <c r="O72" i="16"/>
  <c r="BYE2" i="23" s="1"/>
  <c r="N72" i="16"/>
  <c r="BYC2" i="23" s="1"/>
  <c r="M72" i="16"/>
  <c r="BYA2" i="23" s="1"/>
  <c r="L72" i="16"/>
  <c r="BXY2" i="23" s="1"/>
  <c r="K72" i="16"/>
  <c r="J72" i="16"/>
  <c r="BXU2" i="23" s="1"/>
  <c r="I72" i="16"/>
  <c r="BXS2" i="23" s="1"/>
  <c r="H72" i="16"/>
  <c r="BXQ2" i="23" s="1"/>
  <c r="G72" i="16"/>
  <c r="BXO2" i="23" s="1"/>
  <c r="F72" i="16"/>
  <c r="BXM2" i="23" s="1"/>
  <c r="E72" i="16"/>
  <c r="D72" i="16"/>
  <c r="C72" i="16"/>
  <c r="BXG2" i="23" s="1"/>
  <c r="B72" i="16"/>
  <c r="BXE2" i="23" s="1"/>
  <c r="AE65" i="16"/>
  <c r="AD65" i="16"/>
  <c r="BSK2" i="23" s="1"/>
  <c r="AC65" i="16"/>
  <c r="BSI2" i="23" s="1"/>
  <c r="AB65" i="16"/>
  <c r="AA65" i="16"/>
  <c r="BSE2" i="23" s="1"/>
  <c r="Z65" i="16"/>
  <c r="BSC2" i="23" s="1"/>
  <c r="Y65" i="16"/>
  <c r="BSA2" i="23" s="1"/>
  <c r="X65" i="16"/>
  <c r="BRY2" i="23" s="1"/>
  <c r="W65" i="16"/>
  <c r="V65" i="16"/>
  <c r="U65" i="16"/>
  <c r="BRS2" i="23" s="1"/>
  <c r="T65" i="16"/>
  <c r="S65" i="16"/>
  <c r="BRO2" i="23" s="1"/>
  <c r="R65" i="16"/>
  <c r="BRM2" i="23" s="1"/>
  <c r="Q65" i="16"/>
  <c r="BRK2" i="23" s="1"/>
  <c r="P65" i="16"/>
  <c r="BRI2" i="23" s="1"/>
  <c r="O65" i="16"/>
  <c r="BRG2" i="23" s="1"/>
  <c r="N65" i="16"/>
  <c r="M65" i="16"/>
  <c r="L65" i="16"/>
  <c r="BRA2" i="23" s="1"/>
  <c r="K65" i="16"/>
  <c r="BQY2" i="23" s="1"/>
  <c r="J65" i="16"/>
  <c r="BQW2" i="23" s="1"/>
  <c r="I65" i="16"/>
  <c r="BQU2" i="23" s="1"/>
  <c r="H65" i="16"/>
  <c r="BQS2" i="23" s="1"/>
  <c r="G65" i="16"/>
  <c r="BQQ2" i="23" s="1"/>
  <c r="F65" i="16"/>
  <c r="BQO2" i="23" s="1"/>
  <c r="E65" i="16"/>
  <c r="BQM2" i="23" s="1"/>
  <c r="D65" i="16"/>
  <c r="C65" i="16"/>
  <c r="BQI2" i="23" s="1"/>
  <c r="B65" i="16"/>
  <c r="BQG2" i="23" s="1"/>
  <c r="AE64" i="16"/>
  <c r="BQE2" i="23" s="1"/>
  <c r="AD64" i="16"/>
  <c r="BQC2" i="23" s="1"/>
  <c r="AC64" i="16"/>
  <c r="BQA2" i="23" s="1"/>
  <c r="AB64" i="16"/>
  <c r="BPY2" i="23" s="1"/>
  <c r="AA64" i="16"/>
  <c r="BPW2" i="23" s="1"/>
  <c r="Z64" i="16"/>
  <c r="BPU2" i="23" s="1"/>
  <c r="Y64" i="16"/>
  <c r="BPS2" i="23" s="1"/>
  <c r="X64" i="16"/>
  <c r="BPQ2" i="23" s="1"/>
  <c r="W64" i="16"/>
  <c r="V64" i="16"/>
  <c r="BPM2" i="23" s="1"/>
  <c r="U64" i="16"/>
  <c r="BPK2" i="23" s="1"/>
  <c r="T64" i="16"/>
  <c r="BPI2" i="23" s="1"/>
  <c r="S64" i="16"/>
  <c r="BPG2" i="23" s="1"/>
  <c r="R64" i="16"/>
  <c r="Q64" i="16"/>
  <c r="BPC2" i="23" s="1"/>
  <c r="P64" i="16"/>
  <c r="BPA2" i="23" s="1"/>
  <c r="O64" i="16"/>
  <c r="BOY2" i="23" s="1"/>
  <c r="N64" i="16"/>
  <c r="BOW2" i="23" s="1"/>
  <c r="M64" i="16"/>
  <c r="BOU2" i="23" s="1"/>
  <c r="L64" i="16"/>
  <c r="K64" i="16"/>
  <c r="J64" i="16"/>
  <c r="BOO2" i="23" s="1"/>
  <c r="I64" i="16"/>
  <c r="BOM2" i="23" s="1"/>
  <c r="H64" i="16"/>
  <c r="BOK2" i="23" s="1"/>
  <c r="G64" i="16"/>
  <c r="BOI2" i="23" s="1"/>
  <c r="F64" i="16"/>
  <c r="BOG2" i="23" s="1"/>
  <c r="E64" i="16"/>
  <c r="BOE2" i="23" s="1"/>
  <c r="D64" i="16"/>
  <c r="BOC2" i="23" s="1"/>
  <c r="C64" i="16"/>
  <c r="BOA2" i="23" s="1"/>
  <c r="B64" i="16"/>
  <c r="BNY2" i="23" s="1"/>
  <c r="AE62" i="16"/>
  <c r="BNW2" i="23" s="1"/>
  <c r="AD62" i="16"/>
  <c r="BNU2" i="23" s="1"/>
  <c r="AC62" i="16"/>
  <c r="BNS2" i="23" s="1"/>
  <c r="AB62" i="16"/>
  <c r="BNQ2" i="23" s="1"/>
  <c r="AA62" i="16"/>
  <c r="BNO2" i="23" s="1"/>
  <c r="Z62" i="16"/>
  <c r="BNM2" i="23" s="1"/>
  <c r="Y62" i="16"/>
  <c r="BNK2" i="23" s="1"/>
  <c r="X62" i="16"/>
  <c r="W62" i="16"/>
  <c r="BNG2" i="23" s="1"/>
  <c r="V62" i="16"/>
  <c r="BNE2" i="23" s="1"/>
  <c r="U62" i="16"/>
  <c r="BNC2" i="23" s="1"/>
  <c r="T62" i="16"/>
  <c r="BNA2" i="23" s="1"/>
  <c r="S62" i="16"/>
  <c r="BMY2" i="23" s="1"/>
  <c r="R62" i="16"/>
  <c r="BMW2" i="23" s="1"/>
  <c r="Q62" i="16"/>
  <c r="P62" i="16"/>
  <c r="BMS2" i="23" s="1"/>
  <c r="O62" i="16"/>
  <c r="BMQ2" i="23" s="1"/>
  <c r="N62" i="16"/>
  <c r="BMO2" i="23" s="1"/>
  <c r="M62" i="16"/>
  <c r="BMM2" i="23" s="1"/>
  <c r="L62" i="16"/>
  <c r="BMK2" i="23" s="1"/>
  <c r="K62" i="16"/>
  <c r="BMI2" i="23" s="1"/>
  <c r="J62" i="16"/>
  <c r="BMG2" i="23" s="1"/>
  <c r="I62" i="16"/>
  <c r="BME2" i="23" s="1"/>
  <c r="H62" i="16"/>
  <c r="BMC2" i="23" s="1"/>
  <c r="G62" i="16"/>
  <c r="BMA2" i="23" s="1"/>
  <c r="F62" i="16"/>
  <c r="BLY2" i="23" s="1"/>
  <c r="E62" i="16"/>
  <c r="BLW2" i="23" s="1"/>
  <c r="D62" i="16"/>
  <c r="BLU2" i="23" s="1"/>
  <c r="C62" i="16"/>
  <c r="BLS2" i="23" s="1"/>
  <c r="B62" i="16"/>
  <c r="BLQ2" i="23" s="1"/>
  <c r="AE59" i="16"/>
  <c r="BJG2" i="23" s="1"/>
  <c r="AD59" i="16"/>
  <c r="AC59" i="16"/>
  <c r="AB59" i="16"/>
  <c r="BJA2" i="23" s="1"/>
  <c r="AA59" i="16"/>
  <c r="BIY2" i="23" s="1"/>
  <c r="Z59" i="16"/>
  <c r="BIW2" i="23" s="1"/>
  <c r="Y59" i="16"/>
  <c r="BIU2" i="23" s="1"/>
  <c r="X59" i="16"/>
  <c r="BIS2" i="23" s="1"/>
  <c r="W59" i="16"/>
  <c r="BIQ2" i="23" s="1"/>
  <c r="V59" i="16"/>
  <c r="BIO2" i="23" s="1"/>
  <c r="U59" i="16"/>
  <c r="BIM2" i="23" s="1"/>
  <c r="T59" i="16"/>
  <c r="BIK2" i="23" s="1"/>
  <c r="S59" i="16"/>
  <c r="BII2" i="23" s="1"/>
  <c r="R59" i="16"/>
  <c r="Q59" i="16"/>
  <c r="P59" i="16"/>
  <c r="BIC2" i="23" s="1"/>
  <c r="O59" i="16"/>
  <c r="BIA2" i="23" s="1"/>
  <c r="N59" i="16"/>
  <c r="BHY2" i="23" s="1"/>
  <c r="M59" i="16"/>
  <c r="BHW2" i="23" s="1"/>
  <c r="L59" i="16"/>
  <c r="K59" i="16"/>
  <c r="BHS2" i="23" s="1"/>
  <c r="J59" i="16"/>
  <c r="BHQ2" i="23" s="1"/>
  <c r="I59" i="16"/>
  <c r="BHO2" i="23" s="1"/>
  <c r="H59" i="16"/>
  <c r="BHM2" i="23" s="1"/>
  <c r="G59" i="16"/>
  <c r="BHK2" i="23" s="1"/>
  <c r="F59" i="16"/>
  <c r="E59" i="16"/>
  <c r="BHG2" i="23" s="1"/>
  <c r="D59" i="16"/>
  <c r="C59" i="16"/>
  <c r="BHC2" i="23" s="1"/>
  <c r="B59" i="16"/>
  <c r="BHA2" i="23" s="1"/>
  <c r="AE58" i="16"/>
  <c r="BGY2" i="23" s="1"/>
  <c r="AD58" i="16"/>
  <c r="BGW2" i="23" s="1"/>
  <c r="AC58" i="16"/>
  <c r="BGU2" i="23" s="1"/>
  <c r="AB58" i="16"/>
  <c r="BGS2" i="23" s="1"/>
  <c r="AA58" i="16"/>
  <c r="BGQ2" i="23" s="1"/>
  <c r="Z58" i="16"/>
  <c r="BGO2" i="23" s="1"/>
  <c r="Y58" i="16"/>
  <c r="BGM2" i="23" s="1"/>
  <c r="X58" i="16"/>
  <c r="W58" i="16"/>
  <c r="BGI2" i="23" s="1"/>
  <c r="V58" i="16"/>
  <c r="BGG2" i="23" s="1"/>
  <c r="U58" i="16"/>
  <c r="BGE2" i="23" s="1"/>
  <c r="T58" i="16"/>
  <c r="BGC2" i="23" s="1"/>
  <c r="S58" i="16"/>
  <c r="BGA2" i="23" s="1"/>
  <c r="R58" i="16"/>
  <c r="Q58" i="16"/>
  <c r="BFW2" i="23" s="1"/>
  <c r="P58" i="16"/>
  <c r="BFU2" i="23" s="1"/>
  <c r="O58" i="16"/>
  <c r="BFS2" i="23" s="1"/>
  <c r="N58" i="16"/>
  <c r="BFQ2" i="23" s="1"/>
  <c r="M58" i="16"/>
  <c r="BFO2" i="23" s="1"/>
  <c r="L58" i="16"/>
  <c r="BFM2" i="23" s="1"/>
  <c r="K58" i="16"/>
  <c r="J58" i="16"/>
  <c r="I58" i="16"/>
  <c r="BFG2" i="23" s="1"/>
  <c r="H58" i="16"/>
  <c r="BFE2" i="23" s="1"/>
  <c r="G58" i="16"/>
  <c r="BFC2" i="23" s="1"/>
  <c r="F58" i="16"/>
  <c r="BFA2" i="23" s="1"/>
  <c r="E58" i="16"/>
  <c r="BEY2" i="23" s="1"/>
  <c r="D58" i="16"/>
  <c r="BEW2" i="23" s="1"/>
  <c r="C58" i="16"/>
  <c r="BEU2" i="23" s="1"/>
  <c r="B58" i="16"/>
  <c r="BES2" i="23" s="1"/>
  <c r="AE54" i="16"/>
  <c r="BAA2" i="23" s="1"/>
  <c r="AD54" i="16"/>
  <c r="AZY2" i="23" s="1"/>
  <c r="AC54" i="16"/>
  <c r="AZW2" i="23" s="1"/>
  <c r="AB54" i="16"/>
  <c r="AZU2" i="23" s="1"/>
  <c r="AA54" i="16"/>
  <c r="AZS2" i="23" s="1"/>
  <c r="Z54" i="16"/>
  <c r="AZQ2" i="23" s="1"/>
  <c r="Y54" i="16"/>
  <c r="AZO2" i="23" s="1"/>
  <c r="X54" i="16"/>
  <c r="AZM2" i="23" s="1"/>
  <c r="W54" i="16"/>
  <c r="AZK2" i="23" s="1"/>
  <c r="V54" i="16"/>
  <c r="AZI2" i="23" s="1"/>
  <c r="U54" i="16"/>
  <c r="AZG2" i="23" s="1"/>
  <c r="T54" i="16"/>
  <c r="AZE2" i="23" s="1"/>
  <c r="S54" i="16"/>
  <c r="AZC2" i="23" s="1"/>
  <c r="R54" i="16"/>
  <c r="AZA2" i="23" s="1"/>
  <c r="Q54" i="16"/>
  <c r="AYY2" i="23" s="1"/>
  <c r="P54" i="16"/>
  <c r="O54" i="16"/>
  <c r="AYU2" i="23" s="1"/>
  <c r="N54" i="16"/>
  <c r="AYS2" i="23" s="1"/>
  <c r="M54" i="16"/>
  <c r="AYQ2" i="23" s="1"/>
  <c r="L54" i="16"/>
  <c r="AYO2" i="23" s="1"/>
  <c r="K54" i="16"/>
  <c r="AYM2" i="23" s="1"/>
  <c r="J54" i="16"/>
  <c r="AYK2" i="23" s="1"/>
  <c r="I54" i="16"/>
  <c r="AYI2" i="23" s="1"/>
  <c r="H54" i="16"/>
  <c r="AYG2" i="23" s="1"/>
  <c r="G54" i="16"/>
  <c r="AYE2" i="23" s="1"/>
  <c r="F54" i="16"/>
  <c r="AYC2" i="23" s="1"/>
  <c r="E54" i="16"/>
  <c r="AYA2" i="23" s="1"/>
  <c r="D54" i="16"/>
  <c r="AXY2" i="23" s="1"/>
  <c r="C54" i="16"/>
  <c r="AXW2" i="23" s="1"/>
  <c r="B54" i="16"/>
  <c r="AXU2" i="23" s="1"/>
  <c r="AE50" i="16"/>
  <c r="AD50" i="16"/>
  <c r="AXQ2" i="23" s="1"/>
  <c r="AC50" i="16"/>
  <c r="AXO2" i="23" s="1"/>
  <c r="AB50" i="16"/>
  <c r="AXM2" i="23" s="1"/>
  <c r="AA50" i="16"/>
  <c r="AXK2" i="23" s="1"/>
  <c r="Z50" i="16"/>
  <c r="AXI2" i="23" s="1"/>
  <c r="Y50" i="16"/>
  <c r="AXG2" i="23" s="1"/>
  <c r="X50" i="16"/>
  <c r="AXE2" i="23" s="1"/>
  <c r="W50" i="16"/>
  <c r="AXC2" i="23" s="1"/>
  <c r="V50" i="16"/>
  <c r="AXA2" i="23" s="1"/>
  <c r="U50" i="16"/>
  <c r="AWY2" i="23" s="1"/>
  <c r="T50" i="16"/>
  <c r="AWW2" i="23" s="1"/>
  <c r="S50" i="16"/>
  <c r="AWU2" i="23" s="1"/>
  <c r="R50" i="16"/>
  <c r="AWS2" i="23" s="1"/>
  <c r="Q50" i="16"/>
  <c r="AWQ2" i="23" s="1"/>
  <c r="P50" i="16"/>
  <c r="AWO2" i="23" s="1"/>
  <c r="O50" i="16"/>
  <c r="AWM2" i="23" s="1"/>
  <c r="N50" i="16"/>
  <c r="AWK2" i="23" s="1"/>
  <c r="M50" i="16"/>
  <c r="AWI2" i="23" s="1"/>
  <c r="L50" i="16"/>
  <c r="AWG2" i="23" s="1"/>
  <c r="K50" i="16"/>
  <c r="AWE2" i="23" s="1"/>
  <c r="J50" i="16"/>
  <c r="AWC2" i="23" s="1"/>
  <c r="I50" i="16"/>
  <c r="AWA2" i="23" s="1"/>
  <c r="H50" i="16"/>
  <c r="AVY2" i="23" s="1"/>
  <c r="G50" i="16"/>
  <c r="AVW2" i="23" s="1"/>
  <c r="F50" i="16"/>
  <c r="AVU2" i="23" s="1"/>
  <c r="E50" i="16"/>
  <c r="AVS2" i="23" s="1"/>
  <c r="D50" i="16"/>
  <c r="AVQ2" i="23" s="1"/>
  <c r="C50" i="16"/>
  <c r="B50" i="16"/>
  <c r="AVM2" i="23" s="1"/>
  <c r="AE49" i="16"/>
  <c r="AVK2" i="23" s="1"/>
  <c r="AD49" i="16"/>
  <c r="AVI2" i="23" s="1"/>
  <c r="AC49" i="16"/>
  <c r="AVG2" i="23" s="1"/>
  <c r="AB49" i="16"/>
  <c r="AVE2" i="23" s="1"/>
  <c r="AA49" i="16"/>
  <c r="AVC2" i="23" s="1"/>
  <c r="Z49" i="16"/>
  <c r="AVA2" i="23" s="1"/>
  <c r="Y49" i="16"/>
  <c r="AUY2" i="23" s="1"/>
  <c r="X49" i="16"/>
  <c r="AUW2" i="23" s="1"/>
  <c r="W49" i="16"/>
  <c r="AUU2" i="23" s="1"/>
  <c r="V49" i="16"/>
  <c r="AUS2" i="23" s="1"/>
  <c r="U49" i="16"/>
  <c r="AUQ2" i="23" s="1"/>
  <c r="T49" i="16"/>
  <c r="AUO2" i="23" s="1"/>
  <c r="S49" i="16"/>
  <c r="AUM2" i="23" s="1"/>
  <c r="R49" i="16"/>
  <c r="Q49" i="16"/>
  <c r="AUI2" i="23" s="1"/>
  <c r="P49" i="16"/>
  <c r="AUG2" i="23" s="1"/>
  <c r="O49" i="16"/>
  <c r="AUE2" i="23" s="1"/>
  <c r="N49" i="16"/>
  <c r="AUC2" i="23" s="1"/>
  <c r="M49" i="16"/>
  <c r="AUA2" i="23" s="1"/>
  <c r="L49" i="16"/>
  <c r="ATY2" i="23" s="1"/>
  <c r="K49" i="16"/>
  <c r="ATW2" i="23" s="1"/>
  <c r="J49" i="16"/>
  <c r="ATU2" i="23" s="1"/>
  <c r="I49" i="16"/>
  <c r="ATS2" i="23" s="1"/>
  <c r="H49" i="16"/>
  <c r="ATQ2" i="23" s="1"/>
  <c r="G49" i="16"/>
  <c r="ATO2" i="23" s="1"/>
  <c r="F49" i="16"/>
  <c r="ATM2" i="23" s="1"/>
  <c r="E49" i="16"/>
  <c r="ATK2" i="23" s="1"/>
  <c r="D49" i="16"/>
  <c r="ATI2" i="23" s="1"/>
  <c r="C49" i="16"/>
  <c r="ATG2" i="23" s="1"/>
  <c r="B49" i="16"/>
  <c r="ATE2" i="23" s="1"/>
  <c r="AE47" i="16"/>
  <c r="AD47" i="16"/>
  <c r="ATA2" i="23" s="1"/>
  <c r="AC47" i="16"/>
  <c r="ASY2" i="23" s="1"/>
  <c r="AB47" i="16"/>
  <c r="ASW2" i="23" s="1"/>
  <c r="AA47" i="16"/>
  <c r="ASU2" i="23" s="1"/>
  <c r="Z47" i="16"/>
  <c r="ASS2" i="23" s="1"/>
  <c r="Y47" i="16"/>
  <c r="ASQ2" i="23" s="1"/>
  <c r="X47" i="16"/>
  <c r="ASO2" i="23" s="1"/>
  <c r="W47" i="16"/>
  <c r="ASM2" i="23" s="1"/>
  <c r="V47" i="16"/>
  <c r="ASK2" i="23" s="1"/>
  <c r="U47" i="16"/>
  <c r="ASI2" i="23" s="1"/>
  <c r="T47" i="16"/>
  <c r="ASG2" i="23" s="1"/>
  <c r="S47" i="16"/>
  <c r="ASE2" i="23" s="1"/>
  <c r="R47" i="16"/>
  <c r="ASC2" i="23" s="1"/>
  <c r="Q47" i="16"/>
  <c r="ASA2" i="23" s="1"/>
  <c r="P47" i="16"/>
  <c r="ARY2" i="23" s="1"/>
  <c r="O47" i="16"/>
  <c r="ARW2" i="23" s="1"/>
  <c r="N47" i="16"/>
  <c r="ARU2" i="23" s="1"/>
  <c r="M47" i="16"/>
  <c r="ARS2" i="23" s="1"/>
  <c r="L47" i="16"/>
  <c r="ARQ2" i="23" s="1"/>
  <c r="K47" i="16"/>
  <c r="J47" i="16"/>
  <c r="I47" i="16"/>
  <c r="ARK2" i="23" s="1"/>
  <c r="H47" i="16"/>
  <c r="ARI2" i="23" s="1"/>
  <c r="G47" i="16"/>
  <c r="ARG2" i="23" s="1"/>
  <c r="F47" i="16"/>
  <c r="ARE2" i="23" s="1"/>
  <c r="E47" i="16"/>
  <c r="ARC2" i="23" s="1"/>
  <c r="D47" i="16"/>
  <c r="ARA2" i="23" s="1"/>
  <c r="C47" i="16"/>
  <c r="AQY2" i="23" s="1"/>
  <c r="B47" i="16"/>
  <c r="AQW2" i="23" s="1"/>
  <c r="AE46" i="16"/>
  <c r="AQU2" i="23" s="1"/>
  <c r="AD46" i="16"/>
  <c r="AQS2" i="23" s="1"/>
  <c r="AC46" i="16"/>
  <c r="AQQ2" i="23" s="1"/>
  <c r="AB46" i="16"/>
  <c r="AQO2" i="23" s="1"/>
  <c r="AA46" i="16"/>
  <c r="AQM2" i="23" s="1"/>
  <c r="Z46" i="16"/>
  <c r="AQK2" i="23" s="1"/>
  <c r="Y46" i="16"/>
  <c r="AQI2" i="23" s="1"/>
  <c r="X46" i="16"/>
  <c r="AQG2" i="23" s="1"/>
  <c r="W46" i="16"/>
  <c r="AQE2" i="23" s="1"/>
  <c r="V46" i="16"/>
  <c r="AQC2" i="23" s="1"/>
  <c r="U46" i="16"/>
  <c r="AQA2" i="23" s="1"/>
  <c r="T46" i="16"/>
  <c r="S46" i="16"/>
  <c r="APW2" i="23" s="1"/>
  <c r="R46" i="16"/>
  <c r="APU2" i="23" s="1"/>
  <c r="Q46" i="16"/>
  <c r="APS2" i="23" s="1"/>
  <c r="P46" i="16"/>
  <c r="APQ2" i="23" s="1"/>
  <c r="O46" i="16"/>
  <c r="APO2" i="23" s="1"/>
  <c r="N46" i="16"/>
  <c r="APM2" i="23" s="1"/>
  <c r="M46" i="16"/>
  <c r="APK2" i="23" s="1"/>
  <c r="L46" i="16"/>
  <c r="API2" i="23" s="1"/>
  <c r="K46" i="16"/>
  <c r="APG2" i="23" s="1"/>
  <c r="J46" i="16"/>
  <c r="APE2" i="23" s="1"/>
  <c r="I46" i="16"/>
  <c r="APC2" i="23" s="1"/>
  <c r="H46" i="16"/>
  <c r="APA2" i="23" s="1"/>
  <c r="G46" i="16"/>
  <c r="AOY2" i="23" s="1"/>
  <c r="F46" i="16"/>
  <c r="AOW2" i="23" s="1"/>
  <c r="E46" i="16"/>
  <c r="AOU2" i="23" s="1"/>
  <c r="D46" i="16"/>
  <c r="AOS2" i="23" s="1"/>
  <c r="C46" i="16"/>
  <c r="AOQ2" i="23" s="1"/>
  <c r="B46" i="16"/>
  <c r="AOO2" i="23" s="1"/>
  <c r="AE44" i="16"/>
  <c r="AOM2" i="23" s="1"/>
  <c r="AD44" i="16"/>
  <c r="AOK2" i="23" s="1"/>
  <c r="AC44" i="16"/>
  <c r="AOI2" i="23" s="1"/>
  <c r="AB44" i="16"/>
  <c r="AA44" i="16"/>
  <c r="AOE2" i="23" s="1"/>
  <c r="Z44" i="16"/>
  <c r="AOC2" i="23" s="1"/>
  <c r="Y44" i="16"/>
  <c r="AOA2" i="23" s="1"/>
  <c r="X44" i="16"/>
  <c r="ANY2" i="23" s="1"/>
  <c r="W44" i="16"/>
  <c r="ANW2" i="23" s="1"/>
  <c r="V44" i="16"/>
  <c r="ANU2" i="23" s="1"/>
  <c r="U44" i="16"/>
  <c r="ANS2" i="23" s="1"/>
  <c r="T44" i="16"/>
  <c r="ANQ2" i="23" s="1"/>
  <c r="S44" i="16"/>
  <c r="ANO2" i="23" s="1"/>
  <c r="R44" i="16"/>
  <c r="ANM2" i="23" s="1"/>
  <c r="Q44" i="16"/>
  <c r="ANK2" i="23" s="1"/>
  <c r="P44" i="16"/>
  <c r="ANI2" i="23" s="1"/>
  <c r="O44" i="16"/>
  <c r="ANG2" i="23" s="1"/>
  <c r="N44" i="16"/>
  <c r="ANE2" i="23" s="1"/>
  <c r="M44" i="16"/>
  <c r="ANC2" i="23" s="1"/>
  <c r="L44" i="16"/>
  <c r="ANA2" i="23" s="1"/>
  <c r="K44" i="16"/>
  <c r="AMY2" i="23" s="1"/>
  <c r="J44" i="16"/>
  <c r="AMW2" i="23" s="1"/>
  <c r="I44" i="16"/>
  <c r="AMU2" i="23" s="1"/>
  <c r="H44" i="16"/>
  <c r="AMS2" i="23" s="1"/>
  <c r="G44" i="16"/>
  <c r="F44" i="16"/>
  <c r="E44" i="16"/>
  <c r="AMM2" i="23" s="1"/>
  <c r="D44" i="16"/>
  <c r="AMK2" i="23" s="1"/>
  <c r="C44" i="16"/>
  <c r="AMI2" i="23" s="1"/>
  <c r="B44" i="16"/>
  <c r="AMG2" i="23" s="1"/>
  <c r="AE43" i="16"/>
  <c r="AME2" i="23" s="1"/>
  <c r="AD43" i="16"/>
  <c r="AMC2" i="23" s="1"/>
  <c r="AC43" i="16"/>
  <c r="AMA2" i="23" s="1"/>
  <c r="AB43" i="16"/>
  <c r="ALY2" i="23" s="1"/>
  <c r="AA43" i="16"/>
  <c r="ALW2" i="23" s="1"/>
  <c r="Z43" i="16"/>
  <c r="ALU2" i="23" s="1"/>
  <c r="Y43" i="16"/>
  <c r="ALS2" i="23" s="1"/>
  <c r="X43" i="16"/>
  <c r="ALQ2" i="23" s="1"/>
  <c r="W43" i="16"/>
  <c r="ALO2" i="23" s="1"/>
  <c r="V43" i="16"/>
  <c r="ALM2" i="23" s="1"/>
  <c r="U43" i="16"/>
  <c r="ALK2" i="23" s="1"/>
  <c r="T43" i="16"/>
  <c r="ALI2" i="23" s="1"/>
  <c r="S43" i="16"/>
  <c r="ALG2" i="23" s="1"/>
  <c r="R43" i="16"/>
  <c r="ALE2" i="23" s="1"/>
  <c r="Q43" i="16"/>
  <c r="ALC2" i="23" s="1"/>
  <c r="P43" i="16"/>
  <c r="ALA2" i="23" s="1"/>
  <c r="O43" i="16"/>
  <c r="AKY2" i="23" s="1"/>
  <c r="N43" i="16"/>
  <c r="AKW2" i="23" s="1"/>
  <c r="M43" i="16"/>
  <c r="AKU2" i="23" s="1"/>
  <c r="L43" i="16"/>
  <c r="AKS2" i="23" s="1"/>
  <c r="K43" i="16"/>
  <c r="AKQ2" i="23" s="1"/>
  <c r="J43" i="16"/>
  <c r="AKO2" i="23" s="1"/>
  <c r="I43" i="16"/>
  <c r="AKM2" i="23" s="1"/>
  <c r="H43" i="16"/>
  <c r="AKK2" i="23" s="1"/>
  <c r="G43" i="16"/>
  <c r="AKI2" i="23" s="1"/>
  <c r="F43" i="16"/>
  <c r="AKG2" i="23" s="1"/>
  <c r="E43" i="16"/>
  <c r="AKE2" i="23" s="1"/>
  <c r="D43" i="16"/>
  <c r="AKC2" i="23" s="1"/>
  <c r="C43" i="16"/>
  <c r="AKA2" i="23" s="1"/>
  <c r="B43" i="16"/>
  <c r="AJY2" i="23" s="1"/>
  <c r="AE36" i="16"/>
  <c r="AFG2" i="23" s="1"/>
  <c r="AD36" i="16"/>
  <c r="AFE2" i="23" s="1"/>
  <c r="AC36" i="16"/>
  <c r="AFC2" i="23" s="1"/>
  <c r="AB36" i="16"/>
  <c r="AFA2" i="23" s="1"/>
  <c r="AA36" i="16"/>
  <c r="AEY2" i="23" s="1"/>
  <c r="Z36" i="16"/>
  <c r="AEW2" i="23" s="1"/>
  <c r="Y36" i="16"/>
  <c r="AEU2" i="23" s="1"/>
  <c r="X36" i="16"/>
  <c r="AES2" i="23" s="1"/>
  <c r="W36" i="16"/>
  <c r="AEQ2" i="23" s="1"/>
  <c r="V36" i="16"/>
  <c r="AEO2" i="23" s="1"/>
  <c r="U36" i="16"/>
  <c r="AEM2" i="23" s="1"/>
  <c r="T36" i="16"/>
  <c r="AEK2" i="23" s="1"/>
  <c r="S36" i="16"/>
  <c r="AEI2" i="23" s="1"/>
  <c r="R36" i="16"/>
  <c r="AEG2" i="23" s="1"/>
  <c r="Q36" i="16"/>
  <c r="AEE2" i="23" s="1"/>
  <c r="P36" i="16"/>
  <c r="AEC2" i="23" s="1"/>
  <c r="O36" i="16"/>
  <c r="N36" i="16"/>
  <c r="ADY2" i="23" s="1"/>
  <c r="M36" i="16"/>
  <c r="ADW2" i="23" s="1"/>
  <c r="L36" i="16"/>
  <c r="ADU2" i="23" s="1"/>
  <c r="K36" i="16"/>
  <c r="ADS2" i="23" s="1"/>
  <c r="J36" i="16"/>
  <c r="ADQ2" i="23" s="1"/>
  <c r="I36" i="16"/>
  <c r="ADO2" i="23" s="1"/>
  <c r="H36" i="16"/>
  <c r="ADM2" i="23" s="1"/>
  <c r="G36" i="16"/>
  <c r="ADK2" i="23" s="1"/>
  <c r="F36" i="16"/>
  <c r="ADI2" i="23" s="1"/>
  <c r="E36" i="16"/>
  <c r="ADG2" i="23" s="1"/>
  <c r="D36" i="16"/>
  <c r="ADE2" i="23" s="1"/>
  <c r="C36" i="16"/>
  <c r="ADC2" i="23" s="1"/>
  <c r="B36" i="16"/>
  <c r="ADA2" i="23" s="1"/>
  <c r="AE35" i="16"/>
  <c r="ACY2" i="23" s="1"/>
  <c r="AD35" i="16"/>
  <c r="ACW2" i="23" s="1"/>
  <c r="AC35" i="16"/>
  <c r="ACU2" i="23" s="1"/>
  <c r="AB35" i="16"/>
  <c r="ACS2" i="23" s="1"/>
  <c r="AA35" i="16"/>
  <c r="ACQ2" i="23" s="1"/>
  <c r="Z35" i="16"/>
  <c r="ACO2" i="23" s="1"/>
  <c r="Y35" i="16"/>
  <c r="ACM2" i="23" s="1"/>
  <c r="X35" i="16"/>
  <c r="ACK2" i="23" s="1"/>
  <c r="W35" i="16"/>
  <c r="ACI2" i="23" s="1"/>
  <c r="V35" i="16"/>
  <c r="ACG2" i="23" s="1"/>
  <c r="U35" i="16"/>
  <c r="ACE2" i="23" s="1"/>
  <c r="T35" i="16"/>
  <c r="ACC2" i="23" s="1"/>
  <c r="S35" i="16"/>
  <c r="ACA2" i="23" s="1"/>
  <c r="R35" i="16"/>
  <c r="ABY2" i="23" s="1"/>
  <c r="Q35" i="16"/>
  <c r="ABW2" i="23" s="1"/>
  <c r="P35" i="16"/>
  <c r="ABU2" i="23" s="1"/>
  <c r="O35" i="16"/>
  <c r="ABS2" i="23" s="1"/>
  <c r="N35" i="16"/>
  <c r="ABQ2" i="23" s="1"/>
  <c r="M35" i="16"/>
  <c r="L35" i="16"/>
  <c r="ABM2" i="23" s="1"/>
  <c r="K35" i="16"/>
  <c r="J35" i="16"/>
  <c r="ABI2" i="23" s="1"/>
  <c r="I35" i="16"/>
  <c r="ABG2" i="23" s="1"/>
  <c r="H35" i="16"/>
  <c r="ABE2" i="23" s="1"/>
  <c r="G35" i="16"/>
  <c r="ABC2" i="23" s="1"/>
  <c r="F35" i="16"/>
  <c r="ABA2" i="23" s="1"/>
  <c r="E35" i="16"/>
  <c r="AAY2" i="23" s="1"/>
  <c r="D35" i="16"/>
  <c r="AAW2" i="23" s="1"/>
  <c r="C35" i="16"/>
  <c r="AAU2" i="23" s="1"/>
  <c r="B35" i="16"/>
  <c r="AAS2" i="23" s="1"/>
  <c r="AE33" i="16"/>
  <c r="AAQ2" i="23" s="1"/>
  <c r="AD33" i="16"/>
  <c r="AAO2" i="23" s="1"/>
  <c r="AC33" i="16"/>
  <c r="AAM2" i="23" s="1"/>
  <c r="AB33" i="16"/>
  <c r="AAK2" i="23" s="1"/>
  <c r="AA33" i="16"/>
  <c r="AAI2" i="23" s="1"/>
  <c r="Z33" i="16"/>
  <c r="AAG2" i="23" s="1"/>
  <c r="Y33" i="16"/>
  <c r="AAE2" i="23" s="1"/>
  <c r="X33" i="16"/>
  <c r="AAC2" i="23" s="1"/>
  <c r="W33" i="16"/>
  <c r="AAA2" i="23" s="1"/>
  <c r="V33" i="16"/>
  <c r="ZY2" i="23" s="1"/>
  <c r="U33" i="16"/>
  <c r="ZW2" i="23" s="1"/>
  <c r="T33" i="16"/>
  <c r="ZU2" i="23" s="1"/>
  <c r="S33" i="16"/>
  <c r="ZS2" i="23" s="1"/>
  <c r="R33" i="16"/>
  <c r="ZQ2" i="23" s="1"/>
  <c r="Q33" i="16"/>
  <c r="ZO2" i="23" s="1"/>
  <c r="P33" i="16"/>
  <c r="ZM2" i="23" s="1"/>
  <c r="O33" i="16"/>
  <c r="ZK2" i="23" s="1"/>
  <c r="N33" i="16"/>
  <c r="ZI2" i="23" s="1"/>
  <c r="M33" i="16"/>
  <c r="ZG2" i="23" s="1"/>
  <c r="L33" i="16"/>
  <c r="ZE2" i="23" s="1"/>
  <c r="K33" i="16"/>
  <c r="ZC2" i="23" s="1"/>
  <c r="J33" i="16"/>
  <c r="ZA2" i="23" s="1"/>
  <c r="I33" i="16"/>
  <c r="H33" i="16"/>
  <c r="YW2" i="23" s="1"/>
  <c r="G33" i="16"/>
  <c r="YU2" i="23" s="1"/>
  <c r="F33" i="16"/>
  <c r="YS2" i="23" s="1"/>
  <c r="E33" i="16"/>
  <c r="YQ2" i="23" s="1"/>
  <c r="D33" i="16"/>
  <c r="YO2" i="23" s="1"/>
  <c r="C33" i="16"/>
  <c r="YM2" i="23" s="1"/>
  <c r="B33" i="16"/>
  <c r="YK2" i="23" s="1"/>
  <c r="AE32" i="16"/>
  <c r="YI2" i="23" s="1"/>
  <c r="AD32" i="16"/>
  <c r="YG2" i="23" s="1"/>
  <c r="AC32" i="16"/>
  <c r="YE2" i="23" s="1"/>
  <c r="AB32" i="16"/>
  <c r="YC2" i="23" s="1"/>
  <c r="AA32" i="16"/>
  <c r="YA2" i="23" s="1"/>
  <c r="Z32" i="16"/>
  <c r="XY2" i="23" s="1"/>
  <c r="Y32" i="16"/>
  <c r="XW2" i="23" s="1"/>
  <c r="X32" i="16"/>
  <c r="XU2" i="23" s="1"/>
  <c r="W32" i="16"/>
  <c r="XS2" i="23" s="1"/>
  <c r="V32" i="16"/>
  <c r="XQ2" i="23" s="1"/>
  <c r="U32" i="16"/>
  <c r="XO2" i="23" s="1"/>
  <c r="T32" i="16"/>
  <c r="XM2" i="23" s="1"/>
  <c r="S32" i="16"/>
  <c r="XK2" i="23" s="1"/>
  <c r="R32" i="16"/>
  <c r="XI2" i="23" s="1"/>
  <c r="Q32" i="16"/>
  <c r="XG2" i="23" s="1"/>
  <c r="P32" i="16"/>
  <c r="XE2" i="23" s="1"/>
  <c r="O32" i="16"/>
  <c r="XC2" i="23" s="1"/>
  <c r="N32" i="16"/>
  <c r="XA2" i="23" s="1"/>
  <c r="M32" i="16"/>
  <c r="WY2" i="23" s="1"/>
  <c r="L32" i="16"/>
  <c r="WW2" i="23" s="1"/>
  <c r="K32" i="16"/>
  <c r="WU2" i="23" s="1"/>
  <c r="J32" i="16"/>
  <c r="WS2" i="23" s="1"/>
  <c r="I32" i="16"/>
  <c r="WQ2" i="23" s="1"/>
  <c r="H32" i="16"/>
  <c r="WO2" i="23" s="1"/>
  <c r="G32" i="16"/>
  <c r="WM2" i="23" s="1"/>
  <c r="F32" i="16"/>
  <c r="WK2" i="23" s="1"/>
  <c r="E32" i="16"/>
  <c r="WI2" i="23" s="1"/>
  <c r="D32" i="16"/>
  <c r="WG2" i="23" s="1"/>
  <c r="C32" i="16"/>
  <c r="WE2" i="23" s="1"/>
  <c r="B32" i="16"/>
  <c r="WC2" i="23" s="1"/>
  <c r="AE30" i="16"/>
  <c r="WA2" i="23" s="1"/>
  <c r="AD30" i="16"/>
  <c r="VY2" i="23" s="1"/>
  <c r="AC30" i="16"/>
  <c r="VW2" i="23" s="1"/>
  <c r="AB30" i="16"/>
  <c r="VU2" i="23" s="1"/>
  <c r="AA30" i="16"/>
  <c r="VS2" i="23" s="1"/>
  <c r="Z30" i="16"/>
  <c r="VQ2" i="23" s="1"/>
  <c r="Y30" i="16"/>
  <c r="VO2" i="23" s="1"/>
  <c r="X30" i="16"/>
  <c r="VM2" i="23" s="1"/>
  <c r="W30" i="16"/>
  <c r="V30" i="16"/>
  <c r="VI2" i="23" s="1"/>
  <c r="U30" i="16"/>
  <c r="T30" i="16"/>
  <c r="VE2" i="23" s="1"/>
  <c r="S30" i="16"/>
  <c r="VC2" i="23" s="1"/>
  <c r="R30" i="16"/>
  <c r="VA2" i="23" s="1"/>
  <c r="Q30" i="16"/>
  <c r="UY2" i="23" s="1"/>
  <c r="P30" i="16"/>
  <c r="UW2" i="23" s="1"/>
  <c r="O30" i="16"/>
  <c r="UU2" i="23" s="1"/>
  <c r="N30" i="16"/>
  <c r="US2" i="23" s="1"/>
  <c r="M30" i="16"/>
  <c r="UQ2" i="23" s="1"/>
  <c r="L30" i="16"/>
  <c r="UO2" i="23" s="1"/>
  <c r="K30" i="16"/>
  <c r="UM2" i="23" s="1"/>
  <c r="J30" i="16"/>
  <c r="UK2" i="23" s="1"/>
  <c r="I30" i="16"/>
  <c r="UI2" i="23" s="1"/>
  <c r="H30" i="16"/>
  <c r="UG2" i="23" s="1"/>
  <c r="G30" i="16"/>
  <c r="UE2" i="23" s="1"/>
  <c r="F30" i="16"/>
  <c r="UC2" i="23" s="1"/>
  <c r="E30" i="16"/>
  <c r="UA2" i="23" s="1"/>
  <c r="D30" i="16"/>
  <c r="TY2" i="23" s="1"/>
  <c r="C30" i="16"/>
  <c r="TW2" i="23" s="1"/>
  <c r="B30" i="16"/>
  <c r="TU2" i="23" s="1"/>
  <c r="AE29" i="16"/>
  <c r="TS2" i="23" s="1"/>
  <c r="AD29" i="16"/>
  <c r="TQ2" i="23" s="1"/>
  <c r="AC29" i="16"/>
  <c r="TO2" i="23" s="1"/>
  <c r="AB29" i="16"/>
  <c r="TM2" i="23" s="1"/>
  <c r="AA29" i="16"/>
  <c r="TK2" i="23" s="1"/>
  <c r="Z29" i="16"/>
  <c r="TI2" i="23" s="1"/>
  <c r="Y29" i="16"/>
  <c r="TG2" i="23" s="1"/>
  <c r="X29" i="16"/>
  <c r="TE2" i="23" s="1"/>
  <c r="W29" i="16"/>
  <c r="TC2" i="23" s="1"/>
  <c r="V29" i="16"/>
  <c r="TA2" i="23" s="1"/>
  <c r="U29" i="16"/>
  <c r="SY2" i="23" s="1"/>
  <c r="T29" i="16"/>
  <c r="SW2" i="23" s="1"/>
  <c r="S29" i="16"/>
  <c r="SU2" i="23" s="1"/>
  <c r="R29" i="16"/>
  <c r="SS2" i="23" s="1"/>
  <c r="Q29" i="16"/>
  <c r="SQ2" i="23" s="1"/>
  <c r="P29" i="16"/>
  <c r="SO2" i="23" s="1"/>
  <c r="O29" i="16"/>
  <c r="SM2" i="23" s="1"/>
  <c r="N29" i="16"/>
  <c r="SK2" i="23" s="1"/>
  <c r="M29" i="16"/>
  <c r="SI2" i="23" s="1"/>
  <c r="L29" i="16"/>
  <c r="SG2" i="23" s="1"/>
  <c r="K29" i="16"/>
  <c r="SE2" i="23" s="1"/>
  <c r="J29" i="16"/>
  <c r="SC2" i="23" s="1"/>
  <c r="I29" i="16"/>
  <c r="SA2" i="23" s="1"/>
  <c r="H29" i="16"/>
  <c r="RY2" i="23" s="1"/>
  <c r="G29" i="16"/>
  <c r="RW2" i="23" s="1"/>
  <c r="F29" i="16"/>
  <c r="RU2" i="23" s="1"/>
  <c r="E29" i="16"/>
  <c r="D29" i="16"/>
  <c r="RQ2" i="23" s="1"/>
  <c r="C29" i="16"/>
  <c r="B29" i="16"/>
  <c r="RM2" i="23" s="1"/>
  <c r="S26" i="16"/>
  <c r="B26" i="16"/>
  <c r="X21" i="16"/>
  <c r="P21" i="16"/>
  <c r="P69" i="16" s="1"/>
  <c r="H21" i="16"/>
  <c r="AE18" i="16"/>
  <c r="AD18" i="16"/>
  <c r="X18" i="16"/>
  <c r="W18" i="16"/>
  <c r="V18" i="16"/>
  <c r="P18" i="16"/>
  <c r="H18" i="16"/>
  <c r="F18" i="16"/>
  <c r="AE17" i="16"/>
  <c r="IE2" i="23" s="1"/>
  <c r="AD17" i="16"/>
  <c r="IC2" i="23" s="1"/>
  <c r="AC17" i="16"/>
  <c r="AB17" i="16"/>
  <c r="HY2" i="23" s="1"/>
  <c r="X17" i="16"/>
  <c r="HQ2" i="23" s="1"/>
  <c r="W17" i="16"/>
  <c r="V17" i="16"/>
  <c r="HM2" i="23" s="1"/>
  <c r="U17" i="16"/>
  <c r="P17" i="16"/>
  <c r="HA2" i="23" s="1"/>
  <c r="O17" i="16"/>
  <c r="GY2" i="23" s="1"/>
  <c r="N17" i="16"/>
  <c r="GW2" i="23" s="1"/>
  <c r="M17" i="16"/>
  <c r="JD2" i="23" s="1"/>
  <c r="H17" i="16"/>
  <c r="GK2" i="23" s="1"/>
  <c r="G17" i="16"/>
  <c r="GI2" i="23" s="1"/>
  <c r="F17" i="16"/>
  <c r="GG2" i="23" s="1"/>
  <c r="E17" i="16"/>
  <c r="S13" i="16"/>
  <c r="R13" i="16"/>
  <c r="AGP2" i="23" s="1"/>
  <c r="C13" i="16"/>
  <c r="B13" i="16"/>
  <c r="AA9" i="16"/>
  <c r="Z9" i="16"/>
  <c r="S9" i="16"/>
  <c r="R9" i="16"/>
  <c r="Q9" i="16"/>
  <c r="K9" i="16"/>
  <c r="J9" i="16"/>
  <c r="C9" i="16"/>
  <c r="B9" i="16"/>
  <c r="AD8" i="16"/>
  <c r="BE2" i="23" s="1"/>
  <c r="AB8" i="16"/>
  <c r="BA2" i="23" s="1"/>
  <c r="AA8" i="16"/>
  <c r="AY2" i="23" s="1"/>
  <c r="Z8" i="16"/>
  <c r="AW2" i="23" s="1"/>
  <c r="Y8" i="16"/>
  <c r="AU2" i="23" s="1"/>
  <c r="V8" i="16"/>
  <c r="AO2" i="23" s="1"/>
  <c r="T8" i="16"/>
  <c r="AK2" i="23" s="1"/>
  <c r="S8" i="16"/>
  <c r="AI2" i="23" s="1"/>
  <c r="R8" i="16"/>
  <c r="AG2" i="23" s="1"/>
  <c r="Q8" i="16"/>
  <c r="N8" i="16"/>
  <c r="Y2" i="23" s="1"/>
  <c r="L8" i="16"/>
  <c r="U2" i="23" s="1"/>
  <c r="K8" i="16"/>
  <c r="S2" i="23" s="1"/>
  <c r="J8" i="16"/>
  <c r="Q2" i="23" s="1"/>
  <c r="I8" i="16"/>
  <c r="O2" i="23" s="1"/>
  <c r="F8" i="16"/>
  <c r="I2" i="23" s="1"/>
  <c r="D8" i="16"/>
  <c r="E2" i="23" s="1"/>
  <c r="C8" i="16"/>
  <c r="C2" i="23" s="1"/>
  <c r="B8" i="16"/>
  <c r="A2" i="23" s="1"/>
  <c r="F68" i="16"/>
  <c r="P68" i="16"/>
  <c r="B25" i="16"/>
  <c r="F39" i="16"/>
  <c r="J39" i="16"/>
  <c r="R39" i="16"/>
  <c r="S25" i="16"/>
  <c r="U25" i="16"/>
  <c r="Y25" i="16"/>
  <c r="Z39" i="16"/>
  <c r="S39" i="16"/>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C5" i="18"/>
  <c r="D4"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C4" i="18"/>
  <c r="AB22" i="16"/>
  <c r="AA22" i="16"/>
  <c r="N42" i="22"/>
  <c r="B12" i="16"/>
  <c r="B15" i="16"/>
  <c r="C15" i="16"/>
  <c r="D15" i="16"/>
  <c r="E15" i="16"/>
  <c r="G15" i="16"/>
  <c r="H15" i="16"/>
  <c r="J15" i="16"/>
  <c r="K15" i="16"/>
  <c r="L15" i="16"/>
  <c r="M15" i="16"/>
  <c r="N15" i="16"/>
  <c r="O15" i="16"/>
  <c r="P15" i="16"/>
  <c r="Q15" i="16"/>
  <c r="U15" i="16"/>
  <c r="V15" i="16"/>
  <c r="W15" i="16"/>
  <c r="X15" i="16"/>
  <c r="Y15" i="16"/>
  <c r="Z15" i="16"/>
  <c r="AC15" i="16"/>
  <c r="AD15" i="16"/>
  <c r="AE15" i="16"/>
  <c r="B5" i="16"/>
  <c r="D5" i="16"/>
  <c r="E5" i="16"/>
  <c r="F5" i="16"/>
  <c r="H5" i="16"/>
  <c r="I5" i="16"/>
  <c r="J5" i="16"/>
  <c r="K5" i="16"/>
  <c r="L5" i="16"/>
  <c r="M5" i="16"/>
  <c r="N5" i="16"/>
  <c r="P5" i="16"/>
  <c r="Q5" i="16"/>
  <c r="R5" i="16"/>
  <c r="S5" i="16"/>
  <c r="T5" i="16"/>
  <c r="U5" i="16"/>
  <c r="V5" i="16"/>
  <c r="W5" i="16"/>
  <c r="X5" i="16"/>
  <c r="Y5" i="16"/>
  <c r="AB5" i="16"/>
  <c r="AD5" i="16"/>
  <c r="AE5" i="16"/>
  <c r="F15" i="16"/>
  <c r="D94" i="16"/>
  <c r="D99" i="16"/>
  <c r="AA16" i="16"/>
  <c r="AA19" i="16"/>
  <c r="I15" i="16"/>
  <c r="R15" i="16"/>
  <c r="S15" i="16"/>
  <c r="T15" i="16"/>
  <c r="AA15" i="16"/>
  <c r="AB15" i="16"/>
  <c r="I104" i="16"/>
  <c r="I106" i="16"/>
  <c r="C5" i="16"/>
  <c r="G5" i="16"/>
  <c r="O5" i="16"/>
  <c r="Z5" i="16"/>
  <c r="AA5" i="16"/>
  <c r="AC5" i="16"/>
  <c r="B20" i="16"/>
  <c r="C20" i="16"/>
  <c r="D20"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C12"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C7" i="18"/>
  <c r="D3" i="18"/>
  <c r="E3" i="18"/>
  <c r="F3" i="18"/>
  <c r="G3" i="18"/>
  <c r="H3" i="18"/>
  <c r="I3" i="18"/>
  <c r="J3" i="18"/>
  <c r="K3" i="18"/>
  <c r="L3" i="18"/>
  <c r="M3" i="18"/>
  <c r="N3" i="18"/>
  <c r="O3" i="18"/>
  <c r="P3" i="18"/>
  <c r="Q3" i="18"/>
  <c r="R3" i="18"/>
  <c r="S3" i="18"/>
  <c r="T3" i="18"/>
  <c r="U3" i="18"/>
  <c r="V3" i="18"/>
  <c r="W3" i="18"/>
  <c r="X3" i="18"/>
  <c r="Y3" i="18"/>
  <c r="Z3" i="18"/>
  <c r="AA3" i="18"/>
  <c r="AB3" i="18"/>
  <c r="AC3" i="18"/>
  <c r="AD3" i="18"/>
  <c r="AE3" i="18"/>
  <c r="C3" i="18"/>
  <c r="BD9" i="21"/>
  <c r="AV9" i="21"/>
  <c r="AN9" i="21"/>
  <c r="BD8" i="21"/>
  <c r="AV8" i="21"/>
  <c r="AN8" i="21"/>
  <c r="BD7" i="21"/>
  <c r="AV7" i="21"/>
  <c r="AN7" i="21"/>
  <c r="BD6" i="21"/>
  <c r="AV6" i="21"/>
  <c r="AN6" i="21"/>
  <c r="AN5" i="21"/>
  <c r="CB4" i="21"/>
  <c r="BT4" i="21"/>
  <c r="BL4" i="21"/>
  <c r="BD4" i="21"/>
  <c r="AV4" i="21"/>
  <c r="AN4" i="21"/>
  <c r="CB3" i="21"/>
  <c r="BT3" i="21"/>
  <c r="BL3" i="21"/>
  <c r="BD3" i="21"/>
  <c r="AV3" i="21"/>
  <c r="AN3" i="21"/>
  <c r="C8"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C9"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F95" i="16"/>
  <c r="C94" i="16"/>
  <c r="C99" i="16"/>
  <c r="T7" i="16"/>
  <c r="T11" i="16"/>
  <c r="C104" i="16"/>
  <c r="C106" i="16"/>
  <c r="D104" i="16"/>
  <c r="D106" i="16"/>
  <c r="E104" i="16"/>
  <c r="E106" i="16"/>
  <c r="F104" i="16"/>
  <c r="F106" i="16"/>
  <c r="G104" i="16"/>
  <c r="G106" i="16"/>
  <c r="H104" i="16"/>
  <c r="H106" i="16"/>
  <c r="B104" i="16"/>
  <c r="B106" i="16"/>
  <c r="E5" i="2"/>
  <c r="E8" i="2"/>
  <c r="E7" i="2"/>
  <c r="E11" i="2"/>
  <c r="E9" i="2"/>
  <c r="E12" i="2"/>
  <c r="E10" i="2"/>
  <c r="E6" i="2"/>
  <c r="E14" i="2"/>
  <c r="E13" i="2"/>
  <c r="E2" i="2"/>
  <c r="AG5" i="21"/>
  <c r="A5" i="21"/>
  <c r="AW6" i="21"/>
  <c r="A6" i="21"/>
  <c r="AG6" i="21"/>
  <c r="AO6" i="21"/>
  <c r="AC16" i="16"/>
  <c r="AC19" i="16"/>
  <c r="R16" i="16"/>
  <c r="R19" i="16"/>
  <c r="Q16" i="16"/>
  <c r="Q19" i="16"/>
  <c r="K16" i="16"/>
  <c r="K19" i="16"/>
  <c r="L16" i="16"/>
  <c r="L19" i="16"/>
  <c r="G16" i="16"/>
  <c r="G19" i="16"/>
  <c r="C16" i="16"/>
  <c r="C19" i="16"/>
  <c r="J16" i="16"/>
  <c r="J19" i="16"/>
  <c r="W16" i="16"/>
  <c r="W19" i="16"/>
  <c r="X16" i="16"/>
  <c r="X19" i="16"/>
  <c r="D16" i="16"/>
  <c r="D19" i="16"/>
  <c r="M16" i="16"/>
  <c r="M19" i="16"/>
  <c r="B16" i="16"/>
  <c r="B19" i="16"/>
  <c r="AB16" i="16"/>
  <c r="AB19" i="16"/>
  <c r="Y16" i="16"/>
  <c r="Y19" i="16"/>
  <c r="T16" i="16"/>
  <c r="T19" i="16"/>
  <c r="AE16" i="16"/>
  <c r="AE19" i="16"/>
  <c r="Z16" i="16"/>
  <c r="Z19" i="16"/>
  <c r="F16" i="16"/>
  <c r="F19" i="16"/>
  <c r="H16" i="16"/>
  <c r="H19" i="16"/>
  <c r="N16" i="16"/>
  <c r="N19" i="16"/>
  <c r="S16" i="16"/>
  <c r="S19" i="16"/>
  <c r="U16" i="16"/>
  <c r="U19" i="16"/>
  <c r="E16" i="16"/>
  <c r="E19" i="16"/>
  <c r="V16" i="16"/>
  <c r="V19" i="16"/>
  <c r="I16" i="16"/>
  <c r="I19" i="16"/>
  <c r="O16" i="16"/>
  <c r="O19" i="16"/>
  <c r="AD16" i="16"/>
  <c r="AD19" i="16"/>
  <c r="P16" i="16"/>
  <c r="P19" i="16"/>
  <c r="D7" i="16"/>
  <c r="D11" i="16"/>
  <c r="Y7" i="16"/>
  <c r="Y11" i="16"/>
  <c r="R7" i="16"/>
  <c r="R11" i="16"/>
  <c r="E7" i="16"/>
  <c r="E11" i="16"/>
  <c r="N6" i="16"/>
  <c r="N10" i="16"/>
  <c r="AC6" i="16"/>
  <c r="AC10" i="16"/>
  <c r="U6" i="16"/>
  <c r="U10" i="16"/>
  <c r="F6" i="16"/>
  <c r="F10" i="16"/>
  <c r="AD7" i="16"/>
  <c r="AD11" i="16"/>
  <c r="H6" i="16"/>
  <c r="H10" i="16"/>
  <c r="V7" i="16"/>
  <c r="V11" i="16"/>
  <c r="AA7" i="16"/>
  <c r="AA11" i="16"/>
  <c r="O6" i="16"/>
  <c r="O10" i="16"/>
  <c r="S6" i="16"/>
  <c r="S10" i="16"/>
  <c r="P7" i="16"/>
  <c r="P11" i="16"/>
  <c r="AA6" i="16"/>
  <c r="AA10" i="16"/>
  <c r="R6" i="16"/>
  <c r="R10" i="16"/>
  <c r="U7" i="16"/>
  <c r="U11" i="16"/>
  <c r="Q7" i="16"/>
  <c r="Q11" i="16"/>
  <c r="Q6" i="16"/>
  <c r="Q10" i="16"/>
  <c r="E6" i="16"/>
  <c r="E10" i="16"/>
  <c r="V6" i="16"/>
  <c r="V10" i="16"/>
  <c r="H7" i="16"/>
  <c r="H11" i="16"/>
  <c r="N7" i="16"/>
  <c r="N11" i="16"/>
  <c r="J7" i="16"/>
  <c r="J11" i="16"/>
  <c r="Y6" i="16"/>
  <c r="Y10" i="16"/>
  <c r="L7" i="16"/>
  <c r="L11" i="16"/>
  <c r="L6" i="16"/>
  <c r="L10" i="16"/>
  <c r="AE7" i="16"/>
  <c r="AE11" i="16"/>
  <c r="B6" i="16"/>
  <c r="B10" i="16"/>
  <c r="B7" i="16"/>
  <c r="B11" i="16"/>
  <c r="AC7" i="16"/>
  <c r="AC11" i="16"/>
  <c r="X7" i="16"/>
  <c r="X11" i="16"/>
  <c r="Z6" i="16"/>
  <c r="Z10" i="16"/>
  <c r="J6" i="16"/>
  <c r="J10" i="16"/>
  <c r="G6" i="16"/>
  <c r="G10" i="16"/>
  <c r="P6" i="16"/>
  <c r="P10" i="16"/>
  <c r="O7" i="16"/>
  <c r="O11" i="16"/>
  <c r="C6" i="16"/>
  <c r="C10" i="16"/>
  <c r="M7" i="16"/>
  <c r="M11" i="16"/>
  <c r="I7" i="16"/>
  <c r="I11" i="16"/>
  <c r="K7" i="16"/>
  <c r="K11" i="16"/>
  <c r="M6" i="16"/>
  <c r="M10" i="16"/>
  <c r="W7" i="16"/>
  <c r="W11" i="16"/>
  <c r="K6" i="16"/>
  <c r="K10" i="16"/>
  <c r="G7" i="16"/>
  <c r="G11" i="16"/>
  <c r="X6" i="16"/>
  <c r="X10" i="16"/>
  <c r="W6" i="16"/>
  <c r="W10" i="16"/>
  <c r="T6" i="16"/>
  <c r="T10" i="16"/>
  <c r="S7" i="16"/>
  <c r="S11" i="16"/>
  <c r="AD6" i="16"/>
  <c r="AD10" i="16"/>
  <c r="F7" i="16"/>
  <c r="F11" i="16"/>
  <c r="AE6" i="16"/>
  <c r="AE10" i="16"/>
  <c r="AB7" i="16"/>
  <c r="AB11" i="16"/>
  <c r="Z7" i="16"/>
  <c r="Z11" i="16"/>
  <c r="D6" i="16"/>
  <c r="D10" i="16"/>
  <c r="AB6" i="16"/>
  <c r="AB10" i="16"/>
  <c r="I6" i="16"/>
  <c r="I10" i="16"/>
  <c r="C7" i="16"/>
  <c r="C11" i="16"/>
  <c r="K25" i="16"/>
  <c r="D25" i="16"/>
  <c r="RN2" i="23"/>
  <c r="RV2" i="23"/>
  <c r="SD2" i="23"/>
  <c r="RP2" i="23"/>
  <c r="RX2" i="23"/>
  <c r="SF2" i="23"/>
  <c r="SN2" i="23"/>
  <c r="SV2" i="23"/>
  <c r="TD2" i="23"/>
  <c r="TL2" i="23"/>
  <c r="TT2" i="23"/>
  <c r="UB2" i="23"/>
  <c r="UJ2" i="23"/>
  <c r="UR2" i="23"/>
  <c r="UZ2" i="23"/>
  <c r="VH2" i="23"/>
  <c r="VP2" i="23"/>
  <c r="VX2" i="23"/>
  <c r="WF2" i="23"/>
  <c r="WN2" i="23"/>
  <c r="WV2" i="23"/>
  <c r="XD2" i="23"/>
  <c r="XL2" i="23"/>
  <c r="XT2" i="23"/>
  <c r="YB2" i="23"/>
  <c r="YJ2" i="23"/>
  <c r="YR2" i="23"/>
  <c r="ST2" i="23"/>
  <c r="TZ2" i="23"/>
  <c r="VF2" i="23"/>
  <c r="WL2" i="23"/>
  <c r="XR2" i="23"/>
  <c r="YX2" i="23"/>
  <c r="ZF2" i="23"/>
  <c r="ZN2" i="23"/>
  <c r="ZV2" i="23"/>
  <c r="AAD2" i="23"/>
  <c r="AAL2" i="23"/>
  <c r="AAT2" i="23"/>
  <c r="ABB2" i="23"/>
  <c r="ABJ2" i="23"/>
  <c r="ABR2" i="23"/>
  <c r="ABZ2" i="23"/>
  <c r="ACH2" i="23"/>
  <c r="ACP2" i="23"/>
  <c r="ACX2" i="23"/>
  <c r="ADF2" i="23"/>
  <c r="ADN2" i="23"/>
  <c r="ADV2" i="23"/>
  <c r="AED2" i="23"/>
  <c r="AEL2" i="23"/>
  <c r="AET2" i="23"/>
  <c r="AFB2" i="23"/>
  <c r="RZ2" i="23"/>
  <c r="SL2" i="23"/>
  <c r="TR2" i="23"/>
  <c r="UX2" i="23"/>
  <c r="WD2" i="23"/>
  <c r="XJ2" i="23"/>
  <c r="YP2" i="23"/>
  <c r="YZ2" i="23"/>
  <c r="ZH2" i="23"/>
  <c r="ZP2" i="23"/>
  <c r="ZX2" i="23"/>
  <c r="AAF2" i="23"/>
  <c r="AAN2" i="23"/>
  <c r="AAV2" i="23"/>
  <c r="ABD2" i="23"/>
  <c r="ABL2" i="23"/>
  <c r="ABT2" i="23"/>
  <c r="ACB2" i="23"/>
  <c r="ACJ2" i="23"/>
  <c r="ACR2" i="23"/>
  <c r="ACZ2" i="23"/>
  <c r="ADH2" i="23"/>
  <c r="ADP2" i="23"/>
  <c r="ADX2" i="23"/>
  <c r="AEF2" i="23"/>
  <c r="AEN2" i="23"/>
  <c r="AEV2" i="23"/>
  <c r="AFD2" i="23"/>
  <c r="AKB2" i="23"/>
  <c r="AKJ2" i="23"/>
  <c r="AKR2" i="23"/>
  <c r="AKZ2" i="23"/>
  <c r="ALH2" i="23"/>
  <c r="TJ2" i="23"/>
  <c r="UL2" i="23"/>
  <c r="VN2" i="23"/>
  <c r="WB2" i="23"/>
  <c r="YH2" i="23"/>
  <c r="ZR2" i="23"/>
  <c r="AAB2" i="23"/>
  <c r="AAX2" i="23"/>
  <c r="ABH2" i="23"/>
  <c r="ACD2" i="23"/>
  <c r="ACN2" i="23"/>
  <c r="ADJ2" i="23"/>
  <c r="ADT2" i="23"/>
  <c r="AEP2" i="23"/>
  <c r="AEZ2" i="23"/>
  <c r="AKT2" i="23"/>
  <c r="ALL2" i="23"/>
  <c r="ALT2" i="23"/>
  <c r="AMB2" i="23"/>
  <c r="AMJ2" i="23"/>
  <c r="AMR2" i="23"/>
  <c r="AMZ2" i="23"/>
  <c r="ANH2" i="23"/>
  <c r="ANP2" i="23"/>
  <c r="ANX2" i="23"/>
  <c r="AOF2" i="23"/>
  <c r="AON2" i="23"/>
  <c r="AOV2" i="23"/>
  <c r="APD2" i="23"/>
  <c r="APL2" i="23"/>
  <c r="APT2" i="23"/>
  <c r="AQB2" i="23"/>
  <c r="AQJ2" i="23"/>
  <c r="AQR2" i="23"/>
  <c r="AQZ2" i="23"/>
  <c r="ARH2" i="23"/>
  <c r="ARP2" i="23"/>
  <c r="ARX2" i="23"/>
  <c r="ASF2" i="23"/>
  <c r="RR2" i="23"/>
  <c r="SH2" i="23"/>
  <c r="SX2" i="23"/>
  <c r="TX2" i="23"/>
  <c r="UN2" i="23"/>
  <c r="VB2" i="23"/>
  <c r="WR2" i="23"/>
  <c r="XF2" i="23"/>
  <c r="XV2" i="23"/>
  <c r="YV2" i="23"/>
  <c r="RT2" i="23"/>
  <c r="SZ2" i="23"/>
  <c r="TN2" i="23"/>
  <c r="UD2" i="23"/>
  <c r="VD2" i="23"/>
  <c r="VT2" i="23"/>
  <c r="WH2" i="23"/>
  <c r="XX2" i="23"/>
  <c r="YL2" i="23"/>
  <c r="AKN2" i="23"/>
  <c r="ALF2" i="23"/>
  <c r="SB2" i="23"/>
  <c r="TB2" i="23"/>
  <c r="TV2" i="23"/>
  <c r="UT2" i="23"/>
  <c r="VR2" i="23"/>
  <c r="YF2" i="23"/>
  <c r="ZT2" i="23"/>
  <c r="AAJ2" i="23"/>
  <c r="ADB2" i="23"/>
  <c r="ADR2" i="23"/>
  <c r="AEJ2" i="23"/>
  <c r="AKD2" i="23"/>
  <c r="AKP2" i="23"/>
  <c r="ALB2" i="23"/>
  <c r="ALN2" i="23"/>
  <c r="AMT2" i="23"/>
  <c r="ANZ2" i="23"/>
  <c r="APF2" i="23"/>
  <c r="AQL2" i="23"/>
  <c r="ARR2" i="23"/>
  <c r="ASV2" i="23"/>
  <c r="ATN2" i="23"/>
  <c r="ATX2" i="23"/>
  <c r="AUP2" i="23"/>
  <c r="AVH2" i="23"/>
  <c r="AVZ2" i="23"/>
  <c r="AWJ2" i="23"/>
  <c r="AXB2" i="23"/>
  <c r="AXT2" i="23"/>
  <c r="AYL2" i="23"/>
  <c r="AYV2" i="23"/>
  <c r="AZN2" i="23"/>
  <c r="BAF2" i="23"/>
  <c r="BAX2" i="23"/>
  <c r="BBH2" i="23"/>
  <c r="BBZ2" i="23"/>
  <c r="BFD2" i="23"/>
  <c r="BFV2" i="23"/>
  <c r="BGF2" i="23"/>
  <c r="BGX2" i="23"/>
  <c r="BHP2" i="23"/>
  <c r="BIH2" i="23"/>
  <c r="BIR2" i="23"/>
  <c r="BLV2" i="23"/>
  <c r="BMN2" i="23"/>
  <c r="BNF2" i="23"/>
  <c r="BNP2" i="23"/>
  <c r="BOH2" i="23"/>
  <c r="UV2" i="23"/>
  <c r="VV2" i="23"/>
  <c r="WP2" i="23"/>
  <c r="XN2" i="23"/>
  <c r="ZD2" i="23"/>
  <c r="ABV2" i="23"/>
  <c r="ACL2" i="23"/>
  <c r="ADD2" i="23"/>
  <c r="AKF2" i="23"/>
  <c r="ALD2" i="23"/>
  <c r="ALP2" i="23"/>
  <c r="ALZ2" i="23"/>
  <c r="AMV2" i="23"/>
  <c r="ANF2" i="23"/>
  <c r="AOB2" i="23"/>
  <c r="AOL2" i="23"/>
  <c r="APH2" i="23"/>
  <c r="APR2" i="23"/>
  <c r="AQN2" i="23"/>
  <c r="AQX2" i="23"/>
  <c r="ART2" i="23"/>
  <c r="ASD2" i="23"/>
  <c r="ASN2" i="23"/>
  <c r="ATF2" i="23"/>
  <c r="ATP2" i="23"/>
  <c r="SJ2" i="23"/>
  <c r="TF2" i="23"/>
  <c r="WT2" i="23"/>
  <c r="YN2" i="23"/>
  <c r="AAP2" i="23"/>
  <c r="ABF2" i="23"/>
  <c r="ABX2" i="23"/>
  <c r="AFF2" i="23"/>
  <c r="AML2" i="23"/>
  <c r="ANR2" i="23"/>
  <c r="AOX2" i="23"/>
  <c r="AQD2" i="23"/>
  <c r="ARJ2" i="23"/>
  <c r="ASX2" i="23"/>
  <c r="ATH2" i="23"/>
  <c r="ATZ2" i="23"/>
  <c r="AUR2" i="23"/>
  <c r="AVJ2" i="23"/>
  <c r="AVT2" i="23"/>
  <c r="AWL2" i="23"/>
  <c r="AXD2" i="23"/>
  <c r="AXV2" i="23"/>
  <c r="AYF2" i="23"/>
  <c r="AYX2" i="23"/>
  <c r="AZP2" i="23"/>
  <c r="BAH2" i="23"/>
  <c r="BAR2" i="23"/>
  <c r="BBJ2" i="23"/>
  <c r="BCB2" i="23"/>
  <c r="TH2" i="23"/>
  <c r="UF2" i="23"/>
  <c r="WX2" i="23"/>
  <c r="XP2" i="23"/>
  <c r="ZJ2" i="23"/>
  <c r="ZZ2" i="23"/>
  <c r="AAR2" i="23"/>
  <c r="ADZ2" i="23"/>
  <c r="AKH2" i="23"/>
  <c r="ALR2" i="23"/>
  <c r="AMN2" i="23"/>
  <c r="AMX2" i="23"/>
  <c r="ANT2" i="23"/>
  <c r="AOD2" i="23"/>
  <c r="AOZ2" i="23"/>
  <c r="APJ2" i="23"/>
  <c r="AQF2" i="23"/>
  <c r="AQP2" i="23"/>
  <c r="ARL2" i="23"/>
  <c r="ARV2" i="23"/>
  <c r="ASP2" i="23"/>
  <c r="ASZ2" i="23"/>
  <c r="ATR2" i="23"/>
  <c r="AUJ2" i="23"/>
  <c r="AVB2" i="23"/>
  <c r="AVL2" i="23"/>
  <c r="AWD2" i="23"/>
  <c r="AWV2" i="23"/>
  <c r="AXN2" i="23"/>
  <c r="AXX2" i="23"/>
  <c r="AYP2" i="23"/>
  <c r="AZH2" i="23"/>
  <c r="AZZ2" i="23"/>
  <c r="BAJ2" i="23"/>
  <c r="BBB2" i="23"/>
  <c r="BBT2" i="23"/>
  <c r="BEX2" i="23"/>
  <c r="BFH2" i="23"/>
  <c r="BFZ2" i="23"/>
  <c r="BGR2" i="23"/>
  <c r="BHJ2" i="23"/>
  <c r="BHT2" i="23"/>
  <c r="BIL2" i="23"/>
  <c r="BJD2" i="23"/>
  <c r="BMH2" i="23"/>
  <c r="BMR2" i="23"/>
  <c r="BNJ2" i="23"/>
  <c r="BOB2" i="23"/>
  <c r="BOT2" i="23"/>
  <c r="BPD2" i="23"/>
  <c r="BPV2" i="23"/>
  <c r="BQN2" i="23"/>
  <c r="BRF2" i="23"/>
  <c r="BRN2" i="23"/>
  <c r="BRV2" i="23"/>
  <c r="BSD2" i="23"/>
  <c r="BSL2" i="23"/>
  <c r="SP2" i="23"/>
  <c r="UH2" i="23"/>
  <c r="VZ2" i="23"/>
  <c r="ZL2" i="23"/>
  <c r="AER2" i="23"/>
  <c r="AMD2" i="23"/>
  <c r="AOP2" i="23"/>
  <c r="ARB2" i="23"/>
  <c r="ASR2" i="23"/>
  <c r="ATJ2" i="23"/>
  <c r="AUB2" i="23"/>
  <c r="AVR2" i="23"/>
  <c r="AXJ2" i="23"/>
  <c r="AXZ2" i="23"/>
  <c r="AYN2" i="23"/>
  <c r="AZB2" i="23"/>
  <c r="AZR2" i="23"/>
  <c r="BBX2" i="23"/>
  <c r="BFB2" i="23"/>
  <c r="BFN2" i="23"/>
  <c r="BGL2" i="23"/>
  <c r="BHL2" i="23"/>
  <c r="BIJ2" i="23"/>
  <c r="BIV2" i="23"/>
  <c r="BJH2" i="23"/>
  <c r="BNB2" i="23"/>
  <c r="BNZ2" i="23"/>
  <c r="BOL2" i="23"/>
  <c r="BQB2" i="23"/>
  <c r="BQL2" i="23"/>
  <c r="BQV2" i="23"/>
  <c r="BRP2" i="23"/>
  <c r="BSH2" i="23"/>
  <c r="BXJ2" i="23"/>
  <c r="BXR2" i="23"/>
  <c r="BXZ2" i="23"/>
  <c r="BYH2" i="23"/>
  <c r="BYP2" i="23"/>
  <c r="BYX2" i="23"/>
  <c r="BZF2" i="23"/>
  <c r="BZN2" i="23"/>
  <c r="BZV2" i="23"/>
  <c r="CAD2" i="23"/>
  <c r="CAL2" i="23"/>
  <c r="CAT2" i="23"/>
  <c r="CBB2" i="23"/>
  <c r="CBJ2" i="23"/>
  <c r="CBR2" i="23"/>
  <c r="CBZ2" i="23"/>
  <c r="CCH2" i="23"/>
  <c r="CCP2" i="23"/>
  <c r="CCX2" i="23"/>
  <c r="CDF2" i="23"/>
  <c r="CDN2" i="23"/>
  <c r="CDV2" i="23"/>
  <c r="CED2" i="23"/>
  <c r="CEL2" i="23"/>
  <c r="CET2" i="23"/>
  <c r="CFB2" i="23"/>
  <c r="CFJ2" i="23"/>
  <c r="CFR2" i="23"/>
  <c r="CFZ2" i="23"/>
  <c r="CGH2" i="23"/>
  <c r="CGP2" i="23"/>
  <c r="CGX2" i="23"/>
  <c r="CHF2" i="23"/>
  <c r="CHN2" i="23"/>
  <c r="CHV2" i="23"/>
  <c r="CID2" i="23"/>
  <c r="CIL2" i="23"/>
  <c r="CIT2" i="23"/>
  <c r="CJB2" i="23"/>
  <c r="CJJ2" i="23"/>
  <c r="CJR2" i="23"/>
  <c r="CJZ2" i="23"/>
  <c r="CKH2" i="23"/>
  <c r="CKP2" i="23"/>
  <c r="CKX2" i="23"/>
  <c r="CLF2" i="23"/>
  <c r="CLN2" i="23"/>
  <c r="CLV2" i="23"/>
  <c r="CMD2" i="23"/>
  <c r="CML2" i="23"/>
  <c r="CMT2" i="23"/>
  <c r="CNB2" i="23"/>
  <c r="CNJ2" i="23"/>
  <c r="CNR2" i="23"/>
  <c r="CNZ2" i="23"/>
  <c r="COH2" i="23"/>
  <c r="COP2" i="23"/>
  <c r="COX2" i="23"/>
  <c r="CPF2" i="23"/>
  <c r="CPN2" i="23"/>
  <c r="CPV2" i="23"/>
  <c r="CQD2" i="23"/>
  <c r="CQL2" i="23"/>
  <c r="CQT2" i="23"/>
  <c r="CRB2" i="23"/>
  <c r="CRJ2" i="23"/>
  <c r="CRR2" i="23"/>
  <c r="CRZ2" i="23"/>
  <c r="CSH2" i="23"/>
  <c r="CSP2" i="23"/>
  <c r="CSX2" i="23"/>
  <c r="CTF2" i="23"/>
  <c r="CTN2" i="23"/>
  <c r="CTV2" i="23"/>
  <c r="CUD2" i="23"/>
  <c r="XZ2" i="23"/>
  <c r="ADL2" i="23"/>
  <c r="AKL2" i="23"/>
  <c r="ALJ2" i="23"/>
  <c r="AMF2" i="23"/>
  <c r="ANV2" i="23"/>
  <c r="AOR2" i="23"/>
  <c r="AQH2" i="23"/>
  <c r="ARD2" i="23"/>
  <c r="AVF2" i="23"/>
  <c r="AVV2" i="23"/>
  <c r="AWH2" i="23"/>
  <c r="AWX2" i="23"/>
  <c r="AXL2" i="23"/>
  <c r="AZD2" i="23"/>
  <c r="AZT2" i="23"/>
  <c r="BAV2" i="23"/>
  <c r="BBL2" i="23"/>
  <c r="BFP2" i="23"/>
  <c r="BGB2" i="23"/>
  <c r="BGN2" i="23"/>
  <c r="BGZ2" i="23"/>
  <c r="BHX2" i="23"/>
  <c r="BLR2" i="23"/>
  <c r="BMD2" i="23"/>
  <c r="BMP2" i="23"/>
  <c r="BNN2" i="23"/>
  <c r="BON2" i="23"/>
  <c r="BOX2" i="23"/>
  <c r="BPH2" i="23"/>
  <c r="BPR2" i="23"/>
  <c r="BQX2" i="23"/>
  <c r="BRH2" i="23"/>
  <c r="BRZ2" i="23"/>
  <c r="SR2" i="23"/>
  <c r="UP2" i="23"/>
  <c r="ACF2" i="23"/>
  <c r="ANB2" i="23"/>
  <c r="APN2" i="23"/>
  <c r="ARZ2" i="23"/>
  <c r="AST2" i="23"/>
  <c r="ATL2" i="23"/>
  <c r="AUD2" i="23"/>
  <c r="AUT2" i="23"/>
  <c r="AWZ2" i="23"/>
  <c r="AXP2" i="23"/>
  <c r="AYB2" i="23"/>
  <c r="AYR2" i="23"/>
  <c r="AZF2" i="23"/>
  <c r="BFR2" i="23"/>
  <c r="BGP2" i="23"/>
  <c r="BHB2" i="23"/>
  <c r="BHN2" i="23"/>
  <c r="BHZ2" i="23"/>
  <c r="BIX2" i="23"/>
  <c r="BLT2" i="23"/>
  <c r="BMF2" i="23"/>
  <c r="BND2" i="23"/>
  <c r="BPT2" i="23"/>
  <c r="BQD2" i="23"/>
  <c r="BQZ2" i="23"/>
  <c r="BRR2" i="23"/>
  <c r="BSJ2" i="23"/>
  <c r="WJ2" i="23"/>
  <c r="YD2" i="23"/>
  <c r="AAZ2" i="23"/>
  <c r="AEX2" i="23"/>
  <c r="AMH2" i="23"/>
  <c r="AND2" i="23"/>
  <c r="AOT2" i="23"/>
  <c r="APP2" i="23"/>
  <c r="ARF2" i="23"/>
  <c r="ASB2" i="23"/>
  <c r="AUF2" i="23"/>
  <c r="AUV2" i="23"/>
  <c r="AVX2" i="23"/>
  <c r="AWN2" i="23"/>
  <c r="AYD2" i="23"/>
  <c r="AZV2" i="23"/>
  <c r="BAL2" i="23"/>
  <c r="BAZ2" i="23"/>
  <c r="BBN2" i="23"/>
  <c r="BCD2" i="23"/>
  <c r="BET2" i="23"/>
  <c r="BFF2" i="23"/>
  <c r="BGD2" i="23"/>
  <c r="BHD2" i="23"/>
  <c r="BIB2" i="23"/>
  <c r="BIN2" i="23"/>
  <c r="BIZ2" i="23"/>
  <c r="BMT2" i="23"/>
  <c r="BNR2" i="23"/>
  <c r="BOD2" i="23"/>
  <c r="BOP2" i="23"/>
  <c r="BOZ2" i="23"/>
  <c r="BPJ2" i="23"/>
  <c r="BQF2" i="23"/>
  <c r="BQP2" i="23"/>
  <c r="BRJ2" i="23"/>
  <c r="BSB2" i="23"/>
  <c r="GV2" i="23"/>
  <c r="WZ2" i="23"/>
  <c r="ACT2" i="23"/>
  <c r="AFH2" i="23"/>
  <c r="ANJ2" i="23"/>
  <c r="ASH2" i="23"/>
  <c r="AYH2" i="23"/>
  <c r="AZJ2" i="23"/>
  <c r="BBP2" i="23"/>
  <c r="BEV2" i="23"/>
  <c r="BFT2" i="23"/>
  <c r="BMJ2" i="23"/>
  <c r="BNH2" i="23"/>
  <c r="BOF2" i="23"/>
  <c r="BQR2" i="23"/>
  <c r="BRX2" i="23"/>
  <c r="BYJ2" i="23"/>
  <c r="BZP2" i="23"/>
  <c r="CAV2" i="23"/>
  <c r="CCB2" i="23"/>
  <c r="CDH2" i="23"/>
  <c r="CEN2" i="23"/>
  <c r="CFT2" i="23"/>
  <c r="CGZ2" i="23"/>
  <c r="CIF2" i="23"/>
  <c r="CJL2" i="23"/>
  <c r="CKR2" i="23"/>
  <c r="CLX2" i="23"/>
  <c r="CND2" i="23"/>
  <c r="COJ2" i="23"/>
  <c r="CPP2" i="23"/>
  <c r="CQV2" i="23"/>
  <c r="CSB2" i="23"/>
  <c r="CTH2" i="23"/>
  <c r="AL2" i="23"/>
  <c r="CMN2" i="23"/>
  <c r="CNT2" i="23"/>
  <c r="TP2" i="23"/>
  <c r="XB2" i="23"/>
  <c r="ANL2" i="23"/>
  <c r="APB2" i="23"/>
  <c r="ASJ2" i="23"/>
  <c r="ATT2" i="23"/>
  <c r="AUX2" i="23"/>
  <c r="AWB2" i="23"/>
  <c r="AXF2" i="23"/>
  <c r="AZL2" i="23"/>
  <c r="BAN2" i="23"/>
  <c r="BBR2" i="23"/>
  <c r="BGT2" i="23"/>
  <c r="BHR2" i="23"/>
  <c r="BIP2" i="23"/>
  <c r="BPB2" i="23"/>
  <c r="BPX2" i="23"/>
  <c r="BRL2" i="23"/>
  <c r="BXF2" i="23"/>
  <c r="BXP2" i="23"/>
  <c r="BYL2" i="23"/>
  <c r="BYV2" i="23"/>
  <c r="BZR2" i="23"/>
  <c r="CAB2" i="23"/>
  <c r="CAX2" i="23"/>
  <c r="CBH2" i="23"/>
  <c r="CCD2" i="23"/>
  <c r="CCN2" i="23"/>
  <c r="CDJ2" i="23"/>
  <c r="CDT2" i="23"/>
  <c r="CEP2" i="23"/>
  <c r="CEZ2" i="23"/>
  <c r="CFV2" i="23"/>
  <c r="CGF2" i="23"/>
  <c r="CHB2" i="23"/>
  <c r="CHL2" i="23"/>
  <c r="CIH2" i="23"/>
  <c r="CIR2" i="23"/>
  <c r="CJN2" i="23"/>
  <c r="CJX2" i="23"/>
  <c r="CKT2" i="23"/>
  <c r="CLD2" i="23"/>
  <c r="CLZ2" i="23"/>
  <c r="CMJ2" i="23"/>
  <c r="CNF2" i="23"/>
  <c r="CNP2" i="23"/>
  <c r="COL2" i="23"/>
  <c r="COV2" i="23"/>
  <c r="CPR2" i="23"/>
  <c r="CQB2" i="23"/>
  <c r="CQX2" i="23"/>
  <c r="CRH2" i="23"/>
  <c r="CSD2" i="23"/>
  <c r="CSN2" i="23"/>
  <c r="CTJ2" i="23"/>
  <c r="CTT2" i="23"/>
  <c r="AAH2" i="23"/>
  <c r="ACV2" i="23"/>
  <c r="AJZ2" i="23"/>
  <c r="ALV2" i="23"/>
  <c r="AQT2" i="23"/>
  <c r="AUZ2" i="23"/>
  <c r="AXH2" i="23"/>
  <c r="AYJ2" i="23"/>
  <c r="BAP2" i="23"/>
  <c r="BEZ2" i="23"/>
  <c r="BFX2" i="23"/>
  <c r="BGV2" i="23"/>
  <c r="BML2" i="23"/>
  <c r="BQT2" i="23"/>
  <c r="BYB2" i="23"/>
  <c r="BZH2" i="23"/>
  <c r="CAN2" i="23"/>
  <c r="CBT2" i="23"/>
  <c r="CCZ2" i="23"/>
  <c r="CEF2" i="23"/>
  <c r="CFL2" i="23"/>
  <c r="CGR2" i="23"/>
  <c r="CHX2" i="23"/>
  <c r="CJD2" i="23"/>
  <c r="CKJ2" i="23"/>
  <c r="CLP2" i="23"/>
  <c r="CMV2" i="23"/>
  <c r="COB2" i="23"/>
  <c r="CPH2" i="23"/>
  <c r="CQN2" i="23"/>
  <c r="CRT2" i="23"/>
  <c r="CSZ2" i="23"/>
  <c r="B2" i="23"/>
  <c r="CKB2" i="23"/>
  <c r="XH2" i="23"/>
  <c r="ALX2" i="23"/>
  <c r="ANN2" i="23"/>
  <c r="AQV2" i="23"/>
  <c r="ASL2" i="23"/>
  <c r="ATV2" i="23"/>
  <c r="AVD2" i="23"/>
  <c r="AWF2" i="23"/>
  <c r="BAT2" i="23"/>
  <c r="BBV2" i="23"/>
  <c r="BHV2" i="23"/>
  <c r="BIT2" i="23"/>
  <c r="BNL2" i="23"/>
  <c r="BOJ2" i="23"/>
  <c r="BPF2" i="23"/>
  <c r="BPZ2" i="23"/>
  <c r="BSF2" i="23"/>
  <c r="BXH2" i="23"/>
  <c r="BYD2" i="23"/>
  <c r="BYN2" i="23"/>
  <c r="BZJ2" i="23"/>
  <c r="BZT2" i="23"/>
  <c r="CAP2" i="23"/>
  <c r="CAZ2" i="23"/>
  <c r="CBV2" i="23"/>
  <c r="CCF2" i="23"/>
  <c r="CDB2" i="23"/>
  <c r="CDL2" i="23"/>
  <c r="CEH2" i="23"/>
  <c r="CER2" i="23"/>
  <c r="CFN2" i="23"/>
  <c r="CFX2" i="23"/>
  <c r="CGT2" i="23"/>
  <c r="CHD2" i="23"/>
  <c r="CHZ2" i="23"/>
  <c r="CIJ2" i="23"/>
  <c r="CJF2" i="23"/>
  <c r="CJP2" i="23"/>
  <c r="CKL2" i="23"/>
  <c r="CKV2" i="23"/>
  <c r="CLR2" i="23"/>
  <c r="CMB2" i="23"/>
  <c r="CMX2" i="23"/>
  <c r="CNH2" i="23"/>
  <c r="COD2" i="23"/>
  <c r="CON2" i="23"/>
  <c r="CPJ2" i="23"/>
  <c r="CPT2" i="23"/>
  <c r="CQP2" i="23"/>
  <c r="CQZ2" i="23"/>
  <c r="CRV2" i="23"/>
  <c r="CSF2" i="23"/>
  <c r="CTB2" i="23"/>
  <c r="CTL2" i="23"/>
  <c r="AKV2" i="23"/>
  <c r="APV2" i="23"/>
  <c r="AUH2" i="23"/>
  <c r="AXR2" i="23"/>
  <c r="AYT2" i="23"/>
  <c r="AZX2" i="23"/>
  <c r="BCF2" i="23"/>
  <c r="BID2" i="23"/>
  <c r="BJB2" i="23"/>
  <c r="BNT2" i="23"/>
  <c r="BPL2" i="23"/>
  <c r="BRB2" i="23"/>
  <c r="BXT2" i="23"/>
  <c r="BYZ2" i="23"/>
  <c r="CAF2" i="23"/>
  <c r="CBL2" i="23"/>
  <c r="CCR2" i="23"/>
  <c r="CDX2" i="23"/>
  <c r="CFD2" i="23"/>
  <c r="CGJ2" i="23"/>
  <c r="CHP2" i="23"/>
  <c r="CIV2" i="23"/>
  <c r="CLH2" i="23"/>
  <c r="COZ2" i="23"/>
  <c r="CQF2" i="23"/>
  <c r="VL2" i="23"/>
  <c r="ARN2" i="23"/>
  <c r="AUN2" i="23"/>
  <c r="BBD2" i="23"/>
  <c r="BQH2" i="23"/>
  <c r="BYT2" i="23"/>
  <c r="CBX2" i="23"/>
  <c r="CDR2" i="23"/>
  <c r="CGV2" i="23"/>
  <c r="CIP2" i="23"/>
  <c r="CMP2" i="23"/>
  <c r="CPD2" i="23"/>
  <c r="CPZ2" i="23"/>
  <c r="CRP2" i="23"/>
  <c r="CSJ2" i="23"/>
  <c r="CTD2" i="23"/>
  <c r="CTZ2" i="23"/>
  <c r="BLX2" i="23"/>
  <c r="CBN2" i="23"/>
  <c r="CFH2" i="23"/>
  <c r="CKF2" i="23"/>
  <c r="AWT2" i="23"/>
  <c r="BJF2" i="23"/>
  <c r="BNV2" i="23"/>
  <c r="BXN2" i="23"/>
  <c r="CAR2" i="23"/>
  <c r="CCL2" i="23"/>
  <c r="CPB2" i="23"/>
  <c r="AUL2" i="23"/>
  <c r="BAD2" i="23"/>
  <c r="BFL2" i="23"/>
  <c r="BYR2" i="23"/>
  <c r="CBP2" i="23"/>
  <c r="CGN2" i="23"/>
  <c r="YT2" i="23"/>
  <c r="AEB2" i="23"/>
  <c r="AVN2" i="23"/>
  <c r="BGH2" i="23"/>
  <c r="BMV2" i="23"/>
  <c r="BOR2" i="23"/>
  <c r="BQJ2" i="23"/>
  <c r="BXX2" i="23"/>
  <c r="BZB2" i="23"/>
  <c r="BZX2" i="23"/>
  <c r="CCV2" i="23"/>
  <c r="CDZ2" i="23"/>
  <c r="CEV2" i="23"/>
  <c r="CHT2" i="23"/>
  <c r="CIX2" i="23"/>
  <c r="CJT2" i="23"/>
  <c r="CLT2" i="23"/>
  <c r="CNL2" i="23"/>
  <c r="CQH2" i="23"/>
  <c r="CSL2" i="23"/>
  <c r="CNX2" i="23"/>
  <c r="CKN2" i="23"/>
  <c r="CQR2" i="23"/>
  <c r="CTR2" i="23"/>
  <c r="ABP2" i="23"/>
  <c r="BPP2" i="23"/>
  <c r="BXV2" i="23"/>
  <c r="CMH2" i="23"/>
  <c r="CPX2" i="23"/>
  <c r="AKX2" i="23"/>
  <c r="AOH2" i="23"/>
  <c r="BBF2" i="23"/>
  <c r="BGJ2" i="23"/>
  <c r="BIF2" i="23"/>
  <c r="BMX2" i="23"/>
  <c r="BYF2" i="23"/>
  <c r="BZZ2" i="23"/>
  <c r="CDD2" i="23"/>
  <c r="CEX2" i="23"/>
  <c r="CIB2" i="23"/>
  <c r="CJV2" i="23"/>
  <c r="CMR2" i="23"/>
  <c r="CNN2" i="23"/>
  <c r="CPL2" i="23"/>
  <c r="CSR2" i="23"/>
  <c r="CUB2" i="23"/>
  <c r="ABN2" i="23"/>
  <c r="BPN2" i="23"/>
  <c r="BXL2" i="23"/>
  <c r="CCJ2" i="23"/>
  <c r="CHH2" i="23"/>
  <c r="CLJ2" i="23"/>
  <c r="COT2" i="23"/>
  <c r="CRL2" i="23"/>
  <c r="CTP2" i="23"/>
  <c r="CFP2" i="23"/>
  <c r="BNX2" i="23"/>
  <c r="CCT2" i="23"/>
  <c r="CHR2" i="23"/>
  <c r="CLL2" i="23"/>
  <c r="COF2" i="23"/>
  <c r="ZB2" i="23"/>
  <c r="AEH2" i="23"/>
  <c r="AOJ2" i="23"/>
  <c r="ATB2" i="23"/>
  <c r="AVP2" i="23"/>
  <c r="AYZ2" i="23"/>
  <c r="BMZ2" i="23"/>
  <c r="BOV2" i="23"/>
  <c r="BZD2" i="23"/>
  <c r="CAH2" i="23"/>
  <c r="CBD2" i="23"/>
  <c r="CEB2" i="23"/>
  <c r="CFF2" i="23"/>
  <c r="CGB2" i="23"/>
  <c r="CIZ2" i="23"/>
  <c r="CKD2" i="23"/>
  <c r="CKZ2" i="23"/>
  <c r="CNV2" i="23"/>
  <c r="CQJ2" i="23"/>
  <c r="CRD2" i="23"/>
  <c r="CRX2" i="23"/>
  <c r="CST2" i="23"/>
  <c r="APX2" i="23"/>
  <c r="AWP2" i="23"/>
  <c r="BCH2" i="23"/>
  <c r="BRD2" i="23"/>
  <c r="BSN2" i="23"/>
  <c r="BZL2" i="23"/>
  <c r="CBF2" i="23"/>
  <c r="CEJ2" i="23"/>
  <c r="CGD2" i="23"/>
  <c r="CJH2" i="23"/>
  <c r="CLB2" i="23"/>
  <c r="CMZ2" i="23"/>
  <c r="COR2" i="23"/>
  <c r="CRF2" i="23"/>
  <c r="ATD2" i="23"/>
  <c r="AWR2" i="23"/>
  <c r="BAB2" i="23"/>
  <c r="BCJ2" i="23"/>
  <c r="BFJ2" i="23"/>
  <c r="BHF2" i="23"/>
  <c r="CAJ2" i="23"/>
  <c r="CGL2" i="23"/>
  <c r="CSV2" i="23"/>
  <c r="VJ2" i="23"/>
  <c r="AMP2" i="23"/>
  <c r="APZ2" i="23"/>
  <c r="BHH2" i="23"/>
  <c r="BLZ2" i="23"/>
  <c r="CHJ2" i="23"/>
  <c r="CMF2" i="23"/>
  <c r="CRN2" i="23"/>
  <c r="BMB2" i="23"/>
  <c r="BRT2" i="23"/>
  <c r="CDP2" i="23"/>
  <c r="CIN2" i="23"/>
  <c r="CTX2" i="23"/>
  <c r="BTQ2" i="23" l="1"/>
  <c r="EH2" i="23"/>
  <c r="BY2" i="23"/>
  <c r="CNQ2" i="23"/>
  <c r="FP2" i="23"/>
  <c r="DG2" i="23"/>
  <c r="KK2" i="23"/>
  <c r="MT2" i="23"/>
  <c r="AD21" i="16"/>
  <c r="CNS2" i="23"/>
  <c r="CSQ2" i="23"/>
  <c r="IA2" i="23"/>
  <c r="AC18" i="16"/>
  <c r="AC68" i="16"/>
  <c r="GE2" i="23"/>
  <c r="E18" i="16"/>
  <c r="DR2" i="23"/>
  <c r="BI2" i="23"/>
  <c r="EX2" i="23"/>
  <c r="CO2" i="23"/>
  <c r="T17" i="16"/>
  <c r="HI2" i="23" s="1"/>
  <c r="FN2" i="23"/>
  <c r="DE2" i="23"/>
  <c r="CZ2" i="23"/>
  <c r="W9" i="16"/>
  <c r="COW2" i="23"/>
  <c r="S17" i="16"/>
  <c r="HG2" i="23" s="1"/>
  <c r="MW2" i="23"/>
  <c r="EW2" i="23"/>
  <c r="R55" i="16"/>
  <c r="KM2" i="23"/>
  <c r="MV2" i="23"/>
  <c r="AE21" i="16"/>
  <c r="EV2" i="23"/>
  <c r="CM2" i="23"/>
  <c r="Q13" i="16"/>
  <c r="AD68" i="16"/>
  <c r="HK2" i="23"/>
  <c r="U18" i="16"/>
  <c r="LA2" i="23"/>
  <c r="BTB2" i="23"/>
  <c r="H69" i="16"/>
  <c r="R40" i="16"/>
  <c r="M18" i="16"/>
  <c r="GU2" i="23"/>
  <c r="AE25" i="16"/>
  <c r="C17" i="16"/>
  <c r="GA2" i="23" s="1"/>
  <c r="KF2" i="23"/>
  <c r="AA17" i="16"/>
  <c r="HW2" i="23" s="1"/>
  <c r="CTU2" i="23"/>
  <c r="AA18" i="16"/>
  <c r="EJ2" i="23"/>
  <c r="CA2" i="23"/>
  <c r="N18" i="16"/>
  <c r="DB2" i="23"/>
  <c r="COY2" i="23"/>
  <c r="JR2" i="23"/>
  <c r="T18" i="16"/>
  <c r="AE8" i="16"/>
  <c r="BG2" i="23" s="1"/>
  <c r="OF2" i="23"/>
  <c r="AGR2" i="23"/>
  <c r="EY2" i="23"/>
  <c r="S55" i="16"/>
  <c r="V39" i="16"/>
  <c r="EZ2" i="23"/>
  <c r="CQ2" i="23"/>
  <c r="P8" i="16"/>
  <c r="AC2" i="23" s="1"/>
  <c r="J13" i="16"/>
  <c r="Z13" i="16"/>
  <c r="G18" i="16"/>
  <c r="S40" i="16"/>
  <c r="BP2" i="23"/>
  <c r="CNM2" i="23"/>
  <c r="E8" i="16"/>
  <c r="G2" i="23" s="1"/>
  <c r="E9" i="16"/>
  <c r="COC2" i="23"/>
  <c r="M8" i="16"/>
  <c r="W2" i="23" s="1"/>
  <c r="M9" i="16"/>
  <c r="CV2" i="23"/>
  <c r="COS2" i="23"/>
  <c r="U8" i="16"/>
  <c r="AM2" i="23" s="1"/>
  <c r="CPI2" i="23"/>
  <c r="AC8" i="16"/>
  <c r="BC2" i="23" s="1"/>
  <c r="IV2" i="23"/>
  <c r="CSK2" i="23"/>
  <c r="I17" i="16"/>
  <c r="JL2" i="23"/>
  <c r="CTA2" i="23"/>
  <c r="Q17" i="16"/>
  <c r="KB2" i="23"/>
  <c r="CTQ2" i="23"/>
  <c r="Y17" i="16"/>
  <c r="CTE2" i="23"/>
  <c r="CJ2" i="23"/>
  <c r="K17" i="16"/>
  <c r="GQ2" i="23" s="1"/>
  <c r="CSO2" i="23"/>
  <c r="K18" i="16"/>
  <c r="LQ2" i="23"/>
  <c r="BTR2" i="23"/>
  <c r="KH2" i="23"/>
  <c r="AB18" i="16"/>
  <c r="CTW2" i="23"/>
  <c r="DQ2" i="23"/>
  <c r="MX2" i="23"/>
  <c r="B55" i="16"/>
  <c r="D17" i="16"/>
  <c r="GC2" i="23" s="1"/>
  <c r="O18" i="16"/>
  <c r="OE2" i="23"/>
  <c r="CSA2" i="23"/>
  <c r="DS2" i="23"/>
  <c r="AFL2" i="23"/>
  <c r="C55" i="16"/>
  <c r="LR2" i="23"/>
  <c r="JI2" i="23"/>
  <c r="O8" i="16"/>
  <c r="AA2" i="23" s="1"/>
  <c r="DT2" i="23"/>
  <c r="BK2" i="23"/>
  <c r="IO2" i="23"/>
  <c r="KX2" i="23"/>
  <c r="F21" i="16"/>
  <c r="JU2" i="23"/>
  <c r="MD2" i="23"/>
  <c r="V21" i="16"/>
  <c r="MG2" i="23"/>
  <c r="G8" i="16"/>
  <c r="X9" i="16"/>
  <c r="JW2" i="23"/>
  <c r="MF2" i="23"/>
  <c r="W21" i="16"/>
  <c r="O68" i="16"/>
  <c r="H8" i="16"/>
  <c r="AE2" i="23"/>
  <c r="Q39" i="16"/>
  <c r="I9" i="16"/>
  <c r="Y9" i="16"/>
  <c r="K13" i="16"/>
  <c r="AA13" i="16"/>
  <c r="L17" i="16"/>
  <c r="GS2" i="23" s="1"/>
  <c r="HO2" i="23"/>
  <c r="W68" i="16"/>
  <c r="LB2" i="23"/>
  <c r="IS2" i="23"/>
  <c r="MH2" i="23"/>
  <c r="JY2" i="23"/>
  <c r="BR2" i="23"/>
  <c r="CNO2" i="23"/>
  <c r="F9" i="16"/>
  <c r="CH2" i="23"/>
  <c r="N9" i="16"/>
  <c r="COE2" i="23"/>
  <c r="CX2" i="23"/>
  <c r="COU2" i="23"/>
  <c r="V9" i="16"/>
  <c r="DN2" i="23"/>
  <c r="AD9" i="16"/>
  <c r="CPK2" i="23"/>
  <c r="B17" i="16"/>
  <c r="B18" i="16" s="1"/>
  <c r="CSM2" i="23"/>
  <c r="J17" i="16"/>
  <c r="GO2" i="23" s="1"/>
  <c r="JN2" i="23"/>
  <c r="R17" i="16"/>
  <c r="HE2" i="23" s="1"/>
  <c r="R18" i="16"/>
  <c r="KD2" i="23"/>
  <c r="CTS2" i="23"/>
  <c r="Z17" i="16"/>
  <c r="HU2" i="23" s="1"/>
  <c r="Z18" i="16"/>
  <c r="COG2" i="23"/>
  <c r="T39" i="16"/>
  <c r="D9" i="16"/>
  <c r="L9" i="16"/>
  <c r="T9" i="16"/>
  <c r="AB9" i="16"/>
  <c r="BZ2" i="23"/>
  <c r="CP2" i="23"/>
  <c r="DF2" i="23"/>
  <c r="IP2" i="23"/>
  <c r="JF2" i="23"/>
  <c r="JV2" i="23"/>
  <c r="KL2" i="23"/>
  <c r="CTK2" i="23"/>
  <c r="CSE2" i="23"/>
  <c r="COM2" i="23"/>
  <c r="CNG2" i="23"/>
  <c r="BL2" i="23"/>
  <c r="CB2" i="23"/>
  <c r="CR2" i="23"/>
  <c r="DH2" i="23"/>
  <c r="IR2" i="23"/>
  <c r="JH2" i="23"/>
  <c r="JX2" i="23"/>
  <c r="KN2" i="23"/>
  <c r="BJ2" i="23"/>
  <c r="AA39" i="16"/>
  <c r="CUC2" i="23"/>
  <c r="CSW2" i="23"/>
  <c r="CPE2" i="23"/>
  <c r="CNY2" i="23"/>
  <c r="BX2" i="23"/>
  <c r="CN2" i="23"/>
  <c r="DD2" i="23"/>
  <c r="IN2" i="23"/>
  <c r="JT2" i="23"/>
  <c r="KJ2" i="23"/>
  <c r="CTY2" i="23"/>
  <c r="CTI2" i="23"/>
  <c r="CSS2" i="23"/>
  <c r="CSC2" i="23"/>
  <c r="CPA2" i="23"/>
  <c r="COK2" i="23"/>
  <c r="CNU2" i="23"/>
  <c r="BN2" i="23"/>
  <c r="CD2" i="23"/>
  <c r="CT2" i="23"/>
  <c r="DJ2" i="23"/>
  <c r="IT2" i="23"/>
  <c r="JJ2" i="23"/>
  <c r="JZ2" i="23"/>
  <c r="Z68" i="16"/>
  <c r="AD25" i="16"/>
  <c r="AC25" i="16"/>
  <c r="M25" i="16"/>
  <c r="E25" i="16"/>
  <c r="AA68" i="16"/>
  <c r="C25" i="16"/>
  <c r="C26" i="16" s="1"/>
  <c r="AA25" i="16"/>
  <c r="T25" i="16"/>
  <c r="AB25" i="16"/>
  <c r="K39" i="16"/>
  <c r="Y39" i="16"/>
  <c r="S68" i="16"/>
  <c r="V68" i="16"/>
  <c r="L25" i="16"/>
  <c r="M68" i="16"/>
  <c r="U68" i="16"/>
  <c r="E68" i="16"/>
  <c r="N25" i="16"/>
  <c r="T68" i="16"/>
  <c r="I39" i="16"/>
  <c r="L68" i="16"/>
  <c r="X25" i="16"/>
  <c r="P25" i="16"/>
  <c r="W25" i="16"/>
  <c r="O25" i="16"/>
  <c r="O39" i="16"/>
  <c r="R68" i="16"/>
  <c r="H25" i="16"/>
  <c r="F25" i="16"/>
  <c r="G25" i="16"/>
  <c r="I25" i="16"/>
  <c r="Q25" i="16"/>
  <c r="AB68" i="16"/>
  <c r="D39" i="16"/>
  <c r="E39" i="16"/>
  <c r="N68" i="16"/>
  <c r="G68" i="16"/>
  <c r="AE68" i="16"/>
  <c r="C39" i="16"/>
  <c r="C40" i="16" s="1"/>
  <c r="H68" i="16"/>
  <c r="M39" i="16"/>
  <c r="B39" i="16"/>
  <c r="B40" i="16" s="1"/>
  <c r="X68" i="16"/>
  <c r="X69" i="16" s="1"/>
  <c r="V25" i="16"/>
  <c r="AD39" i="16"/>
  <c r="L39" i="16"/>
  <c r="R25" i="16"/>
  <c r="R26" i="16" s="1"/>
  <c r="Z25" i="16"/>
  <c r="AB39" i="16"/>
  <c r="J25" i="16"/>
  <c r="K68" i="16"/>
  <c r="AN2" i="23"/>
  <c r="J2" i="23"/>
  <c r="AP2" i="23"/>
  <c r="R2" i="23"/>
  <c r="AZ2" i="23"/>
  <c r="IF2" i="23"/>
  <c r="HL2" i="23"/>
  <c r="AD2" i="23"/>
  <c r="FZ2" i="23"/>
  <c r="P2" i="23"/>
  <c r="BB2" i="23"/>
  <c r="GP2" i="23"/>
  <c r="N2" i="23"/>
  <c r="HH2" i="23"/>
  <c r="BH2" i="23"/>
  <c r="GN2" i="23"/>
  <c r="HT2" i="23"/>
  <c r="GX2" i="23"/>
  <c r="GJ2" i="23"/>
  <c r="IB2" i="23"/>
  <c r="GL2" i="23"/>
  <c r="GB2" i="23"/>
  <c r="GF2" i="23"/>
  <c r="GH2" i="23"/>
  <c r="HX2" i="23"/>
  <c r="AT2" i="23"/>
  <c r="GD2" i="23"/>
  <c r="HF2" i="23"/>
  <c r="AH2" i="23"/>
  <c r="D2" i="23"/>
  <c r="HV2" i="23"/>
  <c r="HP2" i="23"/>
  <c r="HR2" i="23"/>
  <c r="L2" i="23"/>
  <c r="GT2" i="23"/>
  <c r="X2" i="23"/>
  <c r="GR2" i="23"/>
  <c r="HN2" i="23"/>
  <c r="AF2" i="23"/>
  <c r="AR2" i="23"/>
  <c r="HJ2" i="23"/>
  <c r="Z2" i="23"/>
  <c r="BF2" i="23"/>
  <c r="AX2" i="23"/>
  <c r="T2" i="23"/>
  <c r="GZ2" i="23"/>
  <c r="F2" i="23"/>
  <c r="HB2" i="23"/>
  <c r="BD2" i="23"/>
  <c r="HD2" i="23"/>
  <c r="HZ2" i="23"/>
  <c r="ID2" i="23"/>
  <c r="AV2" i="23"/>
  <c r="H2" i="23"/>
  <c r="AB2" i="23"/>
  <c r="AJ2" i="23"/>
  <c r="V2" i="23"/>
  <c r="IG2" i="23" l="1"/>
  <c r="KP2" i="23"/>
  <c r="B21" i="16"/>
  <c r="AFI2" i="23"/>
  <c r="AFK2" i="23"/>
  <c r="LL2" i="23"/>
  <c r="JC2" i="23"/>
  <c r="M21" i="16"/>
  <c r="CS2" i="23"/>
  <c r="FB2" i="23"/>
  <c r="T13" i="16"/>
  <c r="FL2" i="23"/>
  <c r="DC2" i="23"/>
  <c r="Y13" i="16"/>
  <c r="KW2" i="23"/>
  <c r="F69" i="16"/>
  <c r="BSX2" i="23"/>
  <c r="O21" i="16"/>
  <c r="LP2" i="23"/>
  <c r="JG2" i="23"/>
  <c r="AGO2" i="23"/>
  <c r="FH2" i="23"/>
  <c r="CY2" i="23"/>
  <c r="W13" i="16"/>
  <c r="DA2" i="23"/>
  <c r="FJ2" i="23"/>
  <c r="X13" i="16"/>
  <c r="IJ2" i="23"/>
  <c r="BTA2" i="23"/>
  <c r="AE39" i="16"/>
  <c r="BM2" i="23"/>
  <c r="DV2" i="23"/>
  <c r="D13" i="16"/>
  <c r="JM2" i="23"/>
  <c r="LV2" i="23"/>
  <c r="R21" i="16"/>
  <c r="IX2" i="23"/>
  <c r="K2" i="23"/>
  <c r="G39" i="16"/>
  <c r="BJJ2" i="23"/>
  <c r="B61" i="16"/>
  <c r="BJI2" i="23" s="1"/>
  <c r="BAC2" i="23"/>
  <c r="D18" i="16"/>
  <c r="HS2" i="23"/>
  <c r="Y68" i="16"/>
  <c r="Y18" i="16"/>
  <c r="GM2" i="23"/>
  <c r="I18" i="16"/>
  <c r="I68" i="16"/>
  <c r="DL2" i="23"/>
  <c r="AGQ2" i="23"/>
  <c r="MU2" i="23"/>
  <c r="BUV2" i="23"/>
  <c r="AE69" i="16"/>
  <c r="L18" i="16"/>
  <c r="D68" i="16"/>
  <c r="FF2" i="23"/>
  <c r="CW2" i="23"/>
  <c r="V13" i="16"/>
  <c r="DZ2" i="23"/>
  <c r="BQ2" i="23"/>
  <c r="F13" i="16"/>
  <c r="BUH2" i="23"/>
  <c r="MZ2" i="23"/>
  <c r="AFJ2" i="23"/>
  <c r="IL2" i="23"/>
  <c r="U9" i="16"/>
  <c r="IQ2" i="23"/>
  <c r="KZ2" i="23"/>
  <c r="G21" i="16"/>
  <c r="BBK2" i="23"/>
  <c r="BKR2" i="23"/>
  <c r="S61" i="16"/>
  <c r="BKQ2" i="23" s="1"/>
  <c r="AE9" i="16"/>
  <c r="S18" i="16"/>
  <c r="KV2" i="23"/>
  <c r="IM2" i="23"/>
  <c r="E21" i="16"/>
  <c r="EP2" i="23"/>
  <c r="CG2" i="23"/>
  <c r="N13" i="16"/>
  <c r="BAE2" i="23"/>
  <c r="BJL2" i="23"/>
  <c r="C61" i="16"/>
  <c r="BJK2" i="23" s="1"/>
  <c r="EN2" i="23"/>
  <c r="CE2" i="23"/>
  <c r="M13" i="16"/>
  <c r="LZ2" i="23"/>
  <c r="JQ2" i="23"/>
  <c r="T21" i="16"/>
  <c r="CC2" i="23"/>
  <c r="EL2" i="23"/>
  <c r="L13" i="16"/>
  <c r="IY2" i="23"/>
  <c r="LH2" i="23"/>
  <c r="K21" i="16"/>
  <c r="FY2" i="23"/>
  <c r="B68" i="16"/>
  <c r="M2" i="23"/>
  <c r="H39" i="16"/>
  <c r="CF2" i="23"/>
  <c r="FM2" i="23"/>
  <c r="OT2" i="23"/>
  <c r="AHF2" i="23"/>
  <c r="Z55" i="16"/>
  <c r="Z26" i="16"/>
  <c r="Z40" i="16"/>
  <c r="DP2" i="23"/>
  <c r="MB2" i="23"/>
  <c r="JS2" i="23"/>
  <c r="U21" i="16"/>
  <c r="BT2" i="23"/>
  <c r="MY2" i="23"/>
  <c r="NP2" i="23"/>
  <c r="AGB2" i="23"/>
  <c r="K55" i="16"/>
  <c r="K40" i="16"/>
  <c r="K26" i="16"/>
  <c r="EI2" i="23"/>
  <c r="MP2" i="23"/>
  <c r="KG2" i="23"/>
  <c r="AB21" i="16"/>
  <c r="AGN2" i="23"/>
  <c r="EU2" i="23"/>
  <c r="OB2" i="23"/>
  <c r="Q40" i="16"/>
  <c r="Q26" i="16"/>
  <c r="Q55" i="16"/>
  <c r="C68" i="16"/>
  <c r="MN2" i="23"/>
  <c r="KE2" i="23"/>
  <c r="AA21" i="16"/>
  <c r="KC2" i="23"/>
  <c r="ML2" i="23"/>
  <c r="Z21" i="16"/>
  <c r="MC2" i="23"/>
  <c r="BUD2" i="23"/>
  <c r="V69" i="16"/>
  <c r="IZ2" i="23"/>
  <c r="BO2" i="23"/>
  <c r="DX2" i="23"/>
  <c r="E13" i="16"/>
  <c r="EG2" i="23"/>
  <c r="NN2" i="23"/>
  <c r="AFZ2" i="23"/>
  <c r="J55" i="16"/>
  <c r="J26" i="16"/>
  <c r="J40" i="16"/>
  <c r="BBI2" i="23"/>
  <c r="BKP2" i="23"/>
  <c r="R61" i="16"/>
  <c r="BKO2" i="23" s="1"/>
  <c r="JB2" i="23"/>
  <c r="DI2" i="23"/>
  <c r="FR2" i="23"/>
  <c r="AB13" i="16"/>
  <c r="BUT2" i="23"/>
  <c r="MS2" i="23"/>
  <c r="AD69" i="16"/>
  <c r="FV2" i="23"/>
  <c r="DM2" i="23"/>
  <c r="AD13" i="16"/>
  <c r="P9" i="16"/>
  <c r="OC2" i="23"/>
  <c r="BW2" i="23"/>
  <c r="EF2" i="23"/>
  <c r="I13" i="16"/>
  <c r="AC39" i="16"/>
  <c r="BUG2" i="23"/>
  <c r="J68" i="16"/>
  <c r="P39" i="16"/>
  <c r="J18" i="16"/>
  <c r="IH2" i="23"/>
  <c r="OV2" i="23"/>
  <c r="FO2" i="23"/>
  <c r="AHH2" i="23"/>
  <c r="AA55" i="16"/>
  <c r="AA26" i="16"/>
  <c r="AA40" i="16"/>
  <c r="ME2" i="23"/>
  <c r="BUF2" i="23"/>
  <c r="W69" i="16"/>
  <c r="CL2" i="23"/>
  <c r="O9" i="16"/>
  <c r="HC2" i="23"/>
  <c r="Q68" i="16"/>
  <c r="Q18" i="16"/>
  <c r="AC9" i="16"/>
  <c r="H9" i="16"/>
  <c r="JE2" i="23"/>
  <c r="N21" i="16"/>
  <c r="LN2" i="23"/>
  <c r="C18" i="16"/>
  <c r="OD2" i="23"/>
  <c r="JP2" i="23"/>
  <c r="MR2" i="23"/>
  <c r="KI2" i="23"/>
  <c r="AC21" i="16"/>
  <c r="BV2" i="23"/>
  <c r="G9" i="16"/>
  <c r="U39" i="16"/>
  <c r="X39" i="16"/>
  <c r="N39" i="16"/>
  <c r="W39" i="16"/>
  <c r="CK2" i="23" l="1"/>
  <c r="ET2" i="23"/>
  <c r="P13" i="16"/>
  <c r="AGA2" i="23"/>
  <c r="EM2" i="23"/>
  <c r="AGF2" i="23"/>
  <c r="NT2" i="23"/>
  <c r="M26" i="16"/>
  <c r="M55" i="16"/>
  <c r="M40" i="16"/>
  <c r="FE2" i="23"/>
  <c r="OL2" i="23"/>
  <c r="AGX2" i="23"/>
  <c r="V40" i="16"/>
  <c r="V26" i="16"/>
  <c r="V55" i="16"/>
  <c r="MQ2" i="23"/>
  <c r="AC69" i="16"/>
  <c r="BUR2" i="23"/>
  <c r="BKB2" i="23"/>
  <c r="BAU2" i="23"/>
  <c r="K61" i="16"/>
  <c r="BKA2" i="23" s="1"/>
  <c r="BU2" i="23"/>
  <c r="H13" i="16"/>
  <c r="ED2" i="23"/>
  <c r="FU2" i="23"/>
  <c r="PB2" i="23"/>
  <c r="AHN2" i="23"/>
  <c r="AD40" i="16"/>
  <c r="AD26" i="16"/>
  <c r="AD55" i="16"/>
  <c r="DK2" i="23"/>
  <c r="FT2" i="23"/>
  <c r="AC13" i="16"/>
  <c r="IW2" i="23"/>
  <c r="LF2" i="23"/>
  <c r="J21" i="16"/>
  <c r="BAS2" i="23"/>
  <c r="BJZ2" i="23"/>
  <c r="J61" i="16"/>
  <c r="BJY2" i="23" s="1"/>
  <c r="BUC2" i="23"/>
  <c r="MO2" i="23"/>
  <c r="BUP2" i="23"/>
  <c r="AB69" i="16"/>
  <c r="KU2" i="23"/>
  <c r="BSV2" i="23"/>
  <c r="E69" i="16"/>
  <c r="LU2" i="23"/>
  <c r="BTV2" i="23"/>
  <c r="R69" i="16"/>
  <c r="BSW2" i="23"/>
  <c r="BTL2" i="23"/>
  <c r="LK2" i="23"/>
  <c r="M69" i="16"/>
  <c r="LT2" i="23"/>
  <c r="JK2" i="23"/>
  <c r="Q21" i="16"/>
  <c r="AHG2" i="23"/>
  <c r="AHE2" i="23"/>
  <c r="LJ2" i="23"/>
  <c r="JA2" i="23"/>
  <c r="L21" i="16"/>
  <c r="KO2" i="23"/>
  <c r="BSP2" i="23"/>
  <c r="B69" i="16"/>
  <c r="LM2" i="23"/>
  <c r="N69" i="16"/>
  <c r="BTN2" i="23"/>
  <c r="OX2" i="23"/>
  <c r="FQ2" i="23"/>
  <c r="AHJ2" i="23"/>
  <c r="AB26" i="16"/>
  <c r="AB40" i="16"/>
  <c r="AB55" i="16"/>
  <c r="BUE2" i="23"/>
  <c r="LO2" i="23"/>
  <c r="BTP2" i="23"/>
  <c r="O69" i="16"/>
  <c r="EE2" i="23"/>
  <c r="AFX2" i="23"/>
  <c r="I40" i="16"/>
  <c r="I26" i="16"/>
  <c r="I55" i="16"/>
  <c r="NL2" i="23"/>
  <c r="BXB2" i="23"/>
  <c r="BUS2" i="23"/>
  <c r="AD70" i="16"/>
  <c r="BXA2" i="23" s="1"/>
  <c r="LY2" i="23"/>
  <c r="BTZ2" i="23"/>
  <c r="T69" i="16"/>
  <c r="KY2" i="23"/>
  <c r="BSZ2" i="23"/>
  <c r="G69" i="16"/>
  <c r="DY2" i="23"/>
  <c r="NF2" i="23"/>
  <c r="AFR2" i="23"/>
  <c r="F40" i="16"/>
  <c r="F26" i="16"/>
  <c r="F55" i="16"/>
  <c r="BUU2" i="23"/>
  <c r="BXD2" i="23"/>
  <c r="AE70" i="16"/>
  <c r="BXC2" i="23" s="1"/>
  <c r="LD2" i="23"/>
  <c r="IU2" i="23"/>
  <c r="I21" i="16"/>
  <c r="FK2" i="23"/>
  <c r="AHD2" i="23"/>
  <c r="OR2" i="23"/>
  <c r="Y40" i="16"/>
  <c r="Y26" i="16"/>
  <c r="Y55" i="16"/>
  <c r="MA2" i="23"/>
  <c r="BUB2" i="23"/>
  <c r="U69" i="16"/>
  <c r="EO2" i="23"/>
  <c r="NV2" i="23"/>
  <c r="AGH2" i="23"/>
  <c r="N40" i="16"/>
  <c r="N26" i="16"/>
  <c r="N55" i="16"/>
  <c r="MM2" i="23"/>
  <c r="BUN2" i="23"/>
  <c r="AA69" i="16"/>
  <c r="ON2" i="23"/>
  <c r="AGZ2" i="23"/>
  <c r="FG2" i="23"/>
  <c r="W40" i="16"/>
  <c r="W26" i="16"/>
  <c r="W55" i="16"/>
  <c r="KT2" i="23"/>
  <c r="IK2" i="23"/>
  <c r="D21" i="16"/>
  <c r="BBG2" i="23"/>
  <c r="BKN2" i="23"/>
  <c r="Q61" i="16"/>
  <c r="BKM2" i="23" s="1"/>
  <c r="NB2" i="23"/>
  <c r="AFN2" i="23"/>
  <c r="DU2" i="23"/>
  <c r="D55" i="16"/>
  <c r="D40" i="16"/>
  <c r="D26" i="16"/>
  <c r="OP2" i="23"/>
  <c r="AHB2" i="23"/>
  <c r="FI2" i="23"/>
  <c r="X40" i="16"/>
  <c r="X26" i="16"/>
  <c r="X55" i="16"/>
  <c r="FD2" i="23"/>
  <c r="CU2" i="23"/>
  <c r="U13" i="16"/>
  <c r="FA2" i="23"/>
  <c r="OH2" i="23"/>
  <c r="T55" i="16"/>
  <c r="T40" i="16"/>
  <c r="AGT2" i="23"/>
  <c r="T26" i="16"/>
  <c r="AFY2" i="23"/>
  <c r="NM2" i="23"/>
  <c r="NR2" i="23"/>
  <c r="EK2" i="23"/>
  <c r="AGD2" i="23"/>
  <c r="L26" i="16"/>
  <c r="L55" i="16"/>
  <c r="L40" i="16"/>
  <c r="OU2" i="23"/>
  <c r="OS2" i="23"/>
  <c r="KR2" i="23"/>
  <c r="II2" i="23"/>
  <c r="C21" i="16"/>
  <c r="BCA2" i="23"/>
  <c r="BLH2" i="23"/>
  <c r="AA61" i="16"/>
  <c r="BLG2" i="23" s="1"/>
  <c r="MK2" i="23"/>
  <c r="BUL2" i="23"/>
  <c r="Z69" i="16"/>
  <c r="OA2" i="23"/>
  <c r="BBY2" i="23"/>
  <c r="BLF2" i="23"/>
  <c r="Z61" i="16"/>
  <c r="BLE2" i="23" s="1"/>
  <c r="LX2" i="23"/>
  <c r="JO2" i="23"/>
  <c r="S21" i="16"/>
  <c r="EB2" i="23"/>
  <c r="BS2" i="23"/>
  <c r="G13" i="16"/>
  <c r="ER2" i="23"/>
  <c r="CI2" i="23"/>
  <c r="O13" i="16"/>
  <c r="DW2" i="23"/>
  <c r="ND2" i="23"/>
  <c r="AFP2" i="23"/>
  <c r="E55" i="16"/>
  <c r="E26" i="16"/>
  <c r="E40" i="16"/>
  <c r="AGM2" i="23"/>
  <c r="NO2" i="23"/>
  <c r="LG2" i="23"/>
  <c r="BTH2" i="23"/>
  <c r="K69" i="16"/>
  <c r="FX2" i="23"/>
  <c r="DO2" i="23"/>
  <c r="AE13" i="16"/>
  <c r="MJ2" i="23"/>
  <c r="KA2" i="23"/>
  <c r="Y21" i="16"/>
  <c r="L27" i="16" l="1"/>
  <c r="PY2" i="23" s="1"/>
  <c r="NQ2" i="23"/>
  <c r="BBA2" i="23"/>
  <c r="BKH2" i="23"/>
  <c r="N61" i="16"/>
  <c r="BKG2" i="23" s="1"/>
  <c r="BEL2" i="23"/>
  <c r="BCC2" i="23"/>
  <c r="BLJ2" i="23"/>
  <c r="AB61" i="16"/>
  <c r="BLI2" i="23" s="1"/>
  <c r="AGW2" i="23"/>
  <c r="NU2" i="23"/>
  <c r="QD2" i="23"/>
  <c r="BBW2" i="23"/>
  <c r="BLD2" i="23"/>
  <c r="BEF2" i="23"/>
  <c r="Y61" i="16"/>
  <c r="BLC2" i="23" s="1"/>
  <c r="OW2" i="23"/>
  <c r="OZ2" i="23"/>
  <c r="FS2" i="23"/>
  <c r="AHL2" i="23"/>
  <c r="AC26" i="16"/>
  <c r="RD2" i="23" s="1"/>
  <c r="AC55" i="16"/>
  <c r="AC40" i="16"/>
  <c r="AA27" i="16"/>
  <c r="RC2" i="23" s="1"/>
  <c r="BAG2" i="23"/>
  <c r="BJN2" i="23"/>
  <c r="D61" i="16"/>
  <c r="BJM2" i="23" s="1"/>
  <c r="NX2" i="23"/>
  <c r="AGJ2" i="23"/>
  <c r="EQ2" i="23"/>
  <c r="O40" i="16"/>
  <c r="O26" i="16"/>
  <c r="O55" i="16"/>
  <c r="AGS2" i="23"/>
  <c r="OO2" i="23"/>
  <c r="KS2" i="23"/>
  <c r="BST2" i="23"/>
  <c r="D69" i="16"/>
  <c r="LI2" i="23"/>
  <c r="BTJ2" i="23"/>
  <c r="L69" i="16"/>
  <c r="BWX2" i="23"/>
  <c r="AB70" i="16"/>
  <c r="BWW2" i="23" s="1"/>
  <c r="BUO2" i="23"/>
  <c r="EC2" i="23"/>
  <c r="AFV2" i="23"/>
  <c r="H26" i="16"/>
  <c r="H40" i="16"/>
  <c r="H55" i="16"/>
  <c r="NJ2" i="23"/>
  <c r="BWZ2" i="23"/>
  <c r="AC70" i="16"/>
  <c r="BWY2" i="23" s="1"/>
  <c r="BUQ2" i="23"/>
  <c r="AGE2" i="23"/>
  <c r="BTK2" i="23"/>
  <c r="NA2" i="23"/>
  <c r="PD2" i="23"/>
  <c r="AHP2" i="23"/>
  <c r="FW2" i="23"/>
  <c r="AE40" i="16"/>
  <c r="AJV2" i="23" s="1"/>
  <c r="AE26" i="16"/>
  <c r="AE55" i="16"/>
  <c r="OQ2" i="23"/>
  <c r="Y27" i="16"/>
  <c r="QY2" i="23" s="1"/>
  <c r="BED2" i="23"/>
  <c r="X56" i="16"/>
  <c r="BEC2" i="23" s="1"/>
  <c r="X61" i="16"/>
  <c r="BLA2" i="23" s="1"/>
  <c r="BBU2" i="23"/>
  <c r="BLB2" i="23"/>
  <c r="AHC2" i="23"/>
  <c r="BSY2" i="23"/>
  <c r="BTG2" i="23"/>
  <c r="Z56" i="16"/>
  <c r="BEG2" i="23" s="1"/>
  <c r="BUK2" i="23"/>
  <c r="BWT2" i="23"/>
  <c r="Z70" i="16"/>
  <c r="BWS2" i="23" s="1"/>
  <c r="BSR2" i="23"/>
  <c r="KQ2" i="23"/>
  <c r="C69" i="16"/>
  <c r="PV2" i="23"/>
  <c r="BKT2" i="23"/>
  <c r="BDV2" i="23"/>
  <c r="BBM2" i="23"/>
  <c r="T61" i="16"/>
  <c r="BKS2" i="23" s="1"/>
  <c r="S56" i="16"/>
  <c r="BDS2" i="23" s="1"/>
  <c r="BDT2" i="23"/>
  <c r="AHA2" i="23"/>
  <c r="BUM2" i="23"/>
  <c r="AA70" i="16"/>
  <c r="BWU2" i="23" s="1"/>
  <c r="BWV2" i="23"/>
  <c r="BAK2" i="23"/>
  <c r="F61" i="16"/>
  <c r="BJQ2" i="23" s="1"/>
  <c r="BJR2" i="23"/>
  <c r="BAQ2" i="23"/>
  <c r="BJX2" i="23"/>
  <c r="I61" i="16"/>
  <c r="BJW2" i="23" s="1"/>
  <c r="LS2" i="23"/>
  <c r="BTT2" i="23"/>
  <c r="Q69" i="16"/>
  <c r="M70" i="16" s="1"/>
  <c r="BVS2" i="23" s="1"/>
  <c r="BEP2" i="23"/>
  <c r="AD61" i="16"/>
  <c r="BLM2" i="23" s="1"/>
  <c r="BLN2" i="23"/>
  <c r="AD56" i="16"/>
  <c r="BEO2" i="23" s="1"/>
  <c r="BCG2" i="23"/>
  <c r="BAY2" i="23"/>
  <c r="BKF2" i="23"/>
  <c r="M61" i="16"/>
  <c r="BKE2" i="23" s="1"/>
  <c r="ES2" i="23"/>
  <c r="NZ2" i="23"/>
  <c r="AGL2" i="23"/>
  <c r="P40" i="16"/>
  <c r="P26" i="16"/>
  <c r="P55" i="16"/>
  <c r="BAI2" i="23"/>
  <c r="BJP2" i="23"/>
  <c r="E61" i="16"/>
  <c r="BJO2" i="23" s="1"/>
  <c r="AA56" i="16"/>
  <c r="BEI2" i="23" s="1"/>
  <c r="AHI2" i="23"/>
  <c r="BEJ2" i="23"/>
  <c r="AFM2" i="23"/>
  <c r="C41" i="16"/>
  <c r="AHS2" i="23" s="1"/>
  <c r="BTO2" i="23"/>
  <c r="AFO2" i="23"/>
  <c r="AGC2" i="23"/>
  <c r="BUA2" i="23"/>
  <c r="NE2" i="23"/>
  <c r="BTY2" i="23"/>
  <c r="NK2" i="23"/>
  <c r="I27" i="16"/>
  <c r="PS2" i="23" s="1"/>
  <c r="BTU2" i="23"/>
  <c r="PA2" i="23"/>
  <c r="RJ2" i="23"/>
  <c r="AD27" i="16"/>
  <c r="RI2" i="23" s="1"/>
  <c r="BBQ2" i="23"/>
  <c r="BKX2" i="23"/>
  <c r="V61" i="16"/>
  <c r="BKW2" i="23" s="1"/>
  <c r="V56" i="16"/>
  <c r="BDY2" i="23" s="1"/>
  <c r="BDZ2" i="23"/>
  <c r="NS2" i="23"/>
  <c r="OJ2" i="23"/>
  <c r="AGV2" i="23"/>
  <c r="FC2" i="23"/>
  <c r="U26" i="16"/>
  <c r="QJ2" i="23" s="1"/>
  <c r="U55" i="16"/>
  <c r="R56" i="16" s="1"/>
  <c r="BDQ2" i="23" s="1"/>
  <c r="U40" i="16"/>
  <c r="S41" i="16" s="1"/>
  <c r="AIY2" i="23" s="1"/>
  <c r="QV2" i="23"/>
  <c r="OM2" i="23"/>
  <c r="W27" i="16"/>
  <c r="QU2" i="23" s="1"/>
  <c r="AGY2" i="23"/>
  <c r="BSO2" i="23"/>
  <c r="BSU2" i="23"/>
  <c r="LW2" i="23"/>
  <c r="S69" i="16"/>
  <c r="R70" i="16" s="1"/>
  <c r="BWC2" i="23" s="1"/>
  <c r="BTX2" i="23"/>
  <c r="OG2" i="23"/>
  <c r="S27" i="16"/>
  <c r="QM2" i="23" s="1"/>
  <c r="QN2" i="23"/>
  <c r="AGG2" i="23"/>
  <c r="MI2" i="23"/>
  <c r="BUJ2" i="23"/>
  <c r="Y69" i="16"/>
  <c r="BWH2" i="23" s="1"/>
  <c r="NC2" i="23"/>
  <c r="NH2" i="23"/>
  <c r="EA2" i="23"/>
  <c r="AFT2" i="23"/>
  <c r="G40" i="16"/>
  <c r="AHR2" i="23" s="1"/>
  <c r="G26" i="16"/>
  <c r="D27" i="16" s="1"/>
  <c r="G55" i="16"/>
  <c r="BCP2" i="23" s="1"/>
  <c r="BEH2" i="23"/>
  <c r="BAW2" i="23"/>
  <c r="L61" i="16"/>
  <c r="BKC2" i="23" s="1"/>
  <c r="BKD2" i="23"/>
  <c r="J41" i="16"/>
  <c r="AIG2" i="23" s="1"/>
  <c r="BBS2" i="23"/>
  <c r="W56" i="16"/>
  <c r="BEA2" i="23" s="1"/>
  <c r="W61" i="16"/>
  <c r="BKY2" i="23" s="1"/>
  <c r="BEB2" i="23"/>
  <c r="BKZ2" i="23"/>
  <c r="LC2" i="23"/>
  <c r="BTD2" i="23"/>
  <c r="I69" i="16"/>
  <c r="BVD2" i="23" s="1"/>
  <c r="AFQ2" i="23"/>
  <c r="AFW2" i="23"/>
  <c r="BTM2" i="23"/>
  <c r="LE2" i="23"/>
  <c r="J69" i="16"/>
  <c r="BTF2" i="23"/>
  <c r="AHM2" i="23"/>
  <c r="AD41" i="16"/>
  <c r="AJU2" i="23" s="1"/>
  <c r="OK2" i="23"/>
  <c r="PI2" i="23" l="1"/>
  <c r="BM4" i="21"/>
  <c r="AIT2" i="23"/>
  <c r="AGK2" i="23"/>
  <c r="P41" i="16"/>
  <c r="AIS2" i="23" s="1"/>
  <c r="M41" i="16"/>
  <c r="AIM2" i="23" s="1"/>
  <c r="BKJ2" i="23"/>
  <c r="O61" i="16"/>
  <c r="BKI2" i="23" s="1"/>
  <c r="BBC2" i="23"/>
  <c r="O56" i="16"/>
  <c r="BDK2" i="23" s="1"/>
  <c r="BDL2" i="23"/>
  <c r="B56" i="16"/>
  <c r="BCK2" i="23" s="1"/>
  <c r="U70" i="16"/>
  <c r="BWI2" i="23" s="1"/>
  <c r="AHX2" i="23"/>
  <c r="D41" i="16"/>
  <c r="AHU2" i="23" s="1"/>
  <c r="AJJ2" i="23"/>
  <c r="G70" i="16"/>
  <c r="BVG2" i="23" s="1"/>
  <c r="PR2" i="23"/>
  <c r="NI2" i="23"/>
  <c r="H27" i="16"/>
  <c r="PQ2" i="23" s="1"/>
  <c r="AIX2" i="23"/>
  <c r="QF2" i="23"/>
  <c r="NW2" i="23"/>
  <c r="O27" i="16"/>
  <c r="QE2" i="23" s="1"/>
  <c r="PX2" i="23"/>
  <c r="BCN2" i="23"/>
  <c r="AJT2" i="23"/>
  <c r="AHK2" i="23"/>
  <c r="AC41" i="16"/>
  <c r="AJS2" i="23" s="1"/>
  <c r="AJN2" i="23"/>
  <c r="RF2" i="23"/>
  <c r="PZ2" i="23"/>
  <c r="A7" i="21"/>
  <c r="I41" i="16"/>
  <c r="AIE2" i="23" s="1"/>
  <c r="T27" i="16"/>
  <c r="QO2" i="23" s="1"/>
  <c r="M27" i="16"/>
  <c r="QA2" i="23" s="1"/>
  <c r="PT2" i="23"/>
  <c r="BWJ2" i="23"/>
  <c r="O70" i="16"/>
  <c r="BVW2" i="23" s="1"/>
  <c r="AHV2" i="23"/>
  <c r="Y41" i="16"/>
  <c r="AJK2" i="23" s="1"/>
  <c r="J56" i="16"/>
  <c r="BDA2" i="23" s="1"/>
  <c r="AIN2" i="23"/>
  <c r="BSS2" i="23"/>
  <c r="BVB2" i="23"/>
  <c r="D70" i="16"/>
  <c r="AIR2" i="23"/>
  <c r="AGI2" i="23"/>
  <c r="O41" i="16"/>
  <c r="AIQ2" i="23" s="1"/>
  <c r="AIH2" i="23"/>
  <c r="BCL2" i="23"/>
  <c r="BCE2" i="23"/>
  <c r="BLL2" i="23"/>
  <c r="AC56" i="16"/>
  <c r="BEM2" i="23" s="1"/>
  <c r="BEN2" i="23"/>
  <c r="AC61" i="16"/>
  <c r="BLK2" i="23" s="1"/>
  <c r="Y56" i="16"/>
  <c r="BEE2" i="23" s="1"/>
  <c r="V41" i="16"/>
  <c r="AJE2" i="23" s="1"/>
  <c r="N56" i="16"/>
  <c r="BDI2" i="23" s="1"/>
  <c r="BVL2" i="23"/>
  <c r="BTC2" i="23"/>
  <c r="I70" i="16"/>
  <c r="BVK2" i="23" s="1"/>
  <c r="H70" i="16"/>
  <c r="BVI2" i="23" s="1"/>
  <c r="BVJ2" i="23"/>
  <c r="PP2" i="23"/>
  <c r="NG2" i="23"/>
  <c r="G27" i="16"/>
  <c r="PO2" i="23" s="1"/>
  <c r="E70" i="16"/>
  <c r="BVC2" i="23" s="1"/>
  <c r="AHO2" i="23"/>
  <c r="AJX2" i="23"/>
  <c r="AE41" i="16"/>
  <c r="AJW2" i="23" s="1"/>
  <c r="AFU2" i="23"/>
  <c r="AID2" i="23"/>
  <c r="H41" i="16"/>
  <c r="AIC2" i="23" s="1"/>
  <c r="L56" i="16"/>
  <c r="BDE2" i="23" s="1"/>
  <c r="N41" i="16"/>
  <c r="AIO2" i="23" s="1"/>
  <c r="B70" i="16"/>
  <c r="BCT2" i="23"/>
  <c r="PJ2" i="23"/>
  <c r="AIJ2" i="23"/>
  <c r="BVN2" i="23"/>
  <c r="J70" i="16"/>
  <c r="BVM2" i="23" s="1"/>
  <c r="BTE2" i="23"/>
  <c r="QB2" i="23"/>
  <c r="BVX2" i="23"/>
  <c r="AJL2" i="23"/>
  <c r="QT2" i="23"/>
  <c r="F41" i="16"/>
  <c r="AHY2" i="23" s="1"/>
  <c r="E27" i="16"/>
  <c r="PK2" i="23" s="1"/>
  <c r="BUX2" i="23"/>
  <c r="BBO2" i="23"/>
  <c r="BKV2" i="23"/>
  <c r="BDX2" i="23"/>
  <c r="U56" i="16"/>
  <c r="BDW2" i="23" s="1"/>
  <c r="U61" i="16"/>
  <c r="BKU2" i="23" s="1"/>
  <c r="Q56" i="16"/>
  <c r="BDO2" i="23" s="1"/>
  <c r="BDP2" i="23"/>
  <c r="AIL2" i="23"/>
  <c r="B41" i="16"/>
  <c r="AHQ2" i="23" s="1"/>
  <c r="AB41" i="16"/>
  <c r="AJQ2" i="23" s="1"/>
  <c r="BDH2" i="23"/>
  <c r="BCZ2" i="23"/>
  <c r="BDR2" i="23"/>
  <c r="BSQ2" i="23"/>
  <c r="BUZ2" i="23"/>
  <c r="C70" i="16"/>
  <c r="BUY2" i="23" s="1"/>
  <c r="QZ2" i="23"/>
  <c r="C27" i="16"/>
  <c r="X27" i="16"/>
  <c r="QW2" i="23" s="1"/>
  <c r="K41" i="16"/>
  <c r="AII2" i="23" s="1"/>
  <c r="BWR2" i="23"/>
  <c r="Y70" i="16"/>
  <c r="BWQ2" i="23" s="1"/>
  <c r="BUI2" i="23"/>
  <c r="BWP2" i="23"/>
  <c r="X70" i="16"/>
  <c r="BWO2" i="23" s="1"/>
  <c r="V70" i="16"/>
  <c r="BWK2" i="23" s="1"/>
  <c r="W70" i="16"/>
  <c r="BWM2" i="23" s="1"/>
  <c r="BWN2" i="23"/>
  <c r="BWL2" i="23"/>
  <c r="T70" i="16"/>
  <c r="BWG2" i="23" s="1"/>
  <c r="V27" i="16"/>
  <c r="QS2" i="23" s="1"/>
  <c r="AIP2" i="23"/>
  <c r="AJD2" i="23"/>
  <c r="AGU2" i="23"/>
  <c r="U41" i="16"/>
  <c r="AJC2" i="23" s="1"/>
  <c r="AIV2" i="23"/>
  <c r="Q41" i="16"/>
  <c r="AIU2" i="23" s="1"/>
  <c r="BDD2" i="23"/>
  <c r="BWF2" i="23"/>
  <c r="S70" i="16"/>
  <c r="BWE2" i="23" s="1"/>
  <c r="BTW2" i="23"/>
  <c r="QR2" i="23"/>
  <c r="OI2" i="23"/>
  <c r="U27" i="16"/>
  <c r="QQ2" i="23" s="1"/>
  <c r="Q27" i="16"/>
  <c r="QI2" i="23" s="1"/>
  <c r="F27" i="16"/>
  <c r="PM2" i="23" s="1"/>
  <c r="BDN2" i="23"/>
  <c r="P56" i="16"/>
  <c r="BDM2" i="23" s="1"/>
  <c r="BKL2" i="23"/>
  <c r="P61" i="16"/>
  <c r="BKK2" i="23" s="1"/>
  <c r="BBE2" i="23"/>
  <c r="M56" i="16"/>
  <c r="BDG2" i="23" s="1"/>
  <c r="BVF2" i="23"/>
  <c r="BVP2" i="23"/>
  <c r="BCI2" i="23"/>
  <c r="BLP2" i="23"/>
  <c r="BER2" i="23"/>
  <c r="AE56" i="16"/>
  <c r="BEQ2" i="23" s="1"/>
  <c r="AE61" i="16"/>
  <c r="BLO2" i="23" s="1"/>
  <c r="B27" i="16"/>
  <c r="PE2" i="23" s="1"/>
  <c r="BVT2" i="23"/>
  <c r="AJB2" i="23"/>
  <c r="AJP2" i="23"/>
  <c r="AB56" i="16"/>
  <c r="BEK2" i="23" s="1"/>
  <c r="BDJ2" i="23"/>
  <c r="AA41" i="16"/>
  <c r="AJO2" i="23" s="1"/>
  <c r="PF2" i="23"/>
  <c r="AIZ2" i="23"/>
  <c r="BVV2" i="23"/>
  <c r="AIB2" i="23"/>
  <c r="AFS2" i="23"/>
  <c r="G41" i="16"/>
  <c r="AIA2" i="23" s="1"/>
  <c r="E56" i="16"/>
  <c r="BCQ2" i="23" s="1"/>
  <c r="I56" i="16"/>
  <c r="BCY2" i="23" s="1"/>
  <c r="R41" i="16"/>
  <c r="AIW2" i="23" s="1"/>
  <c r="RH2" i="23"/>
  <c r="OY2" i="23"/>
  <c r="AC27" i="16"/>
  <c r="RG2" i="23" s="1"/>
  <c r="Z27" i="16"/>
  <c r="RA2" i="23" s="1"/>
  <c r="RB2" i="23"/>
  <c r="AJF2" i="23"/>
  <c r="AIF2" i="23"/>
  <c r="BDF2" i="23"/>
  <c r="QP2" i="23"/>
  <c r="L41" i="16"/>
  <c r="AIK2" i="23" s="1"/>
  <c r="BCR2" i="23"/>
  <c r="K70" i="16"/>
  <c r="BVO2" i="23" s="1"/>
  <c r="K27" i="16"/>
  <c r="PW2" i="23" s="1"/>
  <c r="T41" i="16"/>
  <c r="AJA2" i="23" s="1"/>
  <c r="D56" i="16"/>
  <c r="BCO2" i="23" s="1"/>
  <c r="F70" i="16"/>
  <c r="BVE2" i="23" s="1"/>
  <c r="Z41" i="16"/>
  <c r="AJM2" i="23" s="1"/>
  <c r="R27" i="16"/>
  <c r="QK2" i="23" s="1"/>
  <c r="W41" i="16"/>
  <c r="AJG2" i="23" s="1"/>
  <c r="K56" i="16"/>
  <c r="BDC2" i="23" s="1"/>
  <c r="N70" i="16"/>
  <c r="BVU2" i="23" s="1"/>
  <c r="AHZ2" i="23"/>
  <c r="BCV2" i="23"/>
  <c r="BJT2" i="23"/>
  <c r="BAM2" i="23"/>
  <c r="G61" i="16"/>
  <c r="BJS2" i="23" s="1"/>
  <c r="G56" i="16"/>
  <c r="BCU2" i="23" s="1"/>
  <c r="PL2" i="23"/>
  <c r="QL2" i="23"/>
  <c r="AJH2" i="23"/>
  <c r="BWD2" i="23"/>
  <c r="PN2" i="23"/>
  <c r="E41" i="16"/>
  <c r="AHW2" i="23" s="1"/>
  <c r="AHT2" i="23"/>
  <c r="AJR2" i="23"/>
  <c r="QH2" i="23"/>
  <c r="NY2" i="23"/>
  <c r="P27" i="16"/>
  <c r="QG2" i="23" s="1"/>
  <c r="BTS2" i="23"/>
  <c r="Q70" i="16"/>
  <c r="BWA2" i="23" s="1"/>
  <c r="BWB2" i="23"/>
  <c r="P70" i="16"/>
  <c r="BVY2" i="23" s="1"/>
  <c r="BVZ2" i="23"/>
  <c r="F56" i="16"/>
  <c r="BCS2" i="23" s="1"/>
  <c r="X41" i="16"/>
  <c r="AJI2" i="23" s="1"/>
  <c r="T56" i="16"/>
  <c r="BDU2" i="23" s="1"/>
  <c r="BVH2" i="23"/>
  <c r="RL2" i="23"/>
  <c r="PC2" i="23"/>
  <c r="AE27" i="16"/>
  <c r="RK2" i="23" s="1"/>
  <c r="PH2" i="23"/>
  <c r="BAO2" i="23"/>
  <c r="BJV2" i="23"/>
  <c r="H56" i="16"/>
  <c r="BCW2" i="23" s="1"/>
  <c r="BCX2" i="23"/>
  <c r="H61" i="16"/>
  <c r="BJU2" i="23" s="1"/>
  <c r="BTI2" i="23"/>
  <c r="BVR2" i="23"/>
  <c r="L70" i="16"/>
  <c r="BVQ2" i="23" s="1"/>
  <c r="QX2" i="23"/>
  <c r="J27" i="16"/>
  <c r="PU2" i="23" s="1"/>
  <c r="C56" i="16"/>
  <c r="BCM2" i="23" s="1"/>
  <c r="AB27" i="16"/>
  <c r="RE2" i="23" s="1"/>
  <c r="N27" i="16"/>
  <c r="QC2" i="23" s="1"/>
  <c r="BDB2" i="23"/>
  <c r="AW7" i="21"/>
  <c r="A4" i="21"/>
  <c r="AG4" i="21"/>
  <c r="AG7" i="21"/>
  <c r="BU4" i="21"/>
  <c r="BE3" i="21"/>
  <c r="AW3" i="21"/>
  <c r="AO3" i="21"/>
  <c r="AO7" i="21"/>
  <c r="BVA2" i="23" l="1"/>
  <c r="BE4" i="21"/>
  <c r="AO4" i="21"/>
  <c r="AO9" i="21"/>
  <c r="AW4" i="21"/>
  <c r="AW9" i="21"/>
  <c r="AG9" i="21"/>
  <c r="A9" i="21"/>
  <c r="BUW2" i="23"/>
  <c r="AW8" i="21"/>
  <c r="A8" i="21"/>
  <c r="AO8" i="21"/>
  <c r="AG8" i="21"/>
  <c r="PG2" i="23"/>
  <c r="BU3" i="21"/>
  <c r="BM3" i="21"/>
  <c r="AG3" i="21"/>
  <c r="A3" i="21"/>
</calcChain>
</file>

<file path=xl/comments1.xml><?xml version="1.0" encoding="utf-8"?>
<comments xmlns="http://schemas.openxmlformats.org/spreadsheetml/2006/main">
  <authors>
    <author>wtravis</author>
  </authors>
  <commentList>
    <comment ref="A10" authorId="0">
      <text>
        <r>
          <rPr>
            <b/>
            <sz val="9"/>
            <color indexed="81"/>
            <rFont val="Tahoma"/>
            <family val="2"/>
          </rPr>
          <t>wtravis:</t>
        </r>
        <r>
          <rPr>
            <sz val="9"/>
            <color indexed="81"/>
            <rFont val="Tahoma"/>
            <family val="2"/>
          </rPr>
          <t xml:space="preserve">
make produciton cost half with winter kill, no spring treatments or harvest</t>
        </r>
      </text>
    </comment>
  </commentList>
</comments>
</file>

<file path=xl/sharedStrings.xml><?xml version="1.0" encoding="utf-8"?>
<sst xmlns="http://schemas.openxmlformats.org/spreadsheetml/2006/main" count="720" uniqueCount="395">
  <si>
    <t>Acres</t>
  </si>
  <si>
    <t>Extremes Generator</t>
  </si>
  <si>
    <t xml:space="preserve">    Total</t>
  </si>
  <si>
    <t xml:space="preserve">senseTotal: </t>
  </si>
  <si>
    <t>.</t>
  </si>
  <si>
    <t>selectionIndex</t>
  </si>
  <si>
    <t>formulaIndex</t>
  </si>
  <si>
    <t>cellAddress</t>
  </si>
  <si>
    <t>rangeAddress</t>
  </si>
  <si>
    <t>bookName</t>
  </si>
  <si>
    <t>sheetName</t>
  </si>
  <si>
    <t>ioIndex</t>
  </si>
  <si>
    <t>checkSelected</t>
  </si>
  <si>
    <t>baseValue</t>
  </si>
  <si>
    <t>useCellBase</t>
  </si>
  <si>
    <t>minPercent</t>
  </si>
  <si>
    <t>maxPercent</t>
  </si>
  <si>
    <t>minValue</t>
  </si>
  <si>
    <t>maxValue</t>
  </si>
  <si>
    <t>numIntervals</t>
  </si>
  <si>
    <t>intIndex</t>
  </si>
  <si>
    <t>varyWhenStepping</t>
  </si>
  <si>
    <t>intervalMode</t>
  </si>
  <si>
    <t>tableRange</t>
  </si>
  <si>
    <t>analysisString</t>
  </si>
  <si>
    <t>isInput</t>
  </si>
  <si>
    <t>groupIndex</t>
  </si>
  <si>
    <t>groupCount</t>
  </si>
  <si>
    <t/>
  </si>
  <si>
    <t>0.1</t>
  </si>
  <si>
    <t>'[Winter Kill.xlsx]WW no insur no change'!$B$26:$H$26</t>
  </si>
  <si>
    <t>0</t>
  </si>
  <si>
    <t>0.11</t>
  </si>
  <si>
    <t>Base +1.00</t>
  </si>
  <si>
    <t>Base +1.20</t>
  </si>
  <si>
    <t>Base +1.30</t>
  </si>
  <si>
    <t>Base +1.40</t>
  </si>
  <si>
    <t>Base +1.50</t>
  </si>
  <si>
    <t>Base +1.60</t>
  </si>
  <si>
    <t>Base +1.70</t>
  </si>
  <si>
    <t>Base +1.80</t>
  </si>
  <si>
    <t>Base +1.90</t>
  </si>
  <si>
    <t>Base +2.00</t>
  </si>
  <si>
    <t>0.2</t>
  </si>
  <si>
    <t>NPV (x to end)</t>
  </si>
  <si>
    <t>WW differential</t>
  </si>
  <si>
    <t>Base -0.09</t>
  </si>
  <si>
    <t>Base -0.04</t>
  </si>
  <si>
    <t>Base +0.00</t>
  </si>
  <si>
    <t>0.04</t>
  </si>
  <si>
    <t>0.06</t>
  </si>
  <si>
    <t>0.12</t>
  </si>
  <si>
    <t>0.18</t>
  </si>
  <si>
    <t>0.22</t>
  </si>
  <si>
    <t>0.24</t>
  </si>
  <si>
    <t>0.26</t>
  </si>
  <si>
    <t>0.28</t>
  </si>
  <si>
    <t>0.3</t>
  </si>
  <si>
    <t>0.32</t>
  </si>
  <si>
    <t>0.34</t>
  </si>
  <si>
    <t>0.36</t>
  </si>
  <si>
    <t>0.38</t>
  </si>
  <si>
    <t>0.4</t>
  </si>
  <si>
    <t>6.2</t>
  </si>
  <si>
    <t>6.3</t>
  </si>
  <si>
    <t>6.4</t>
  </si>
  <si>
    <t>6.5</t>
  </si>
  <si>
    <t>6.6</t>
  </si>
  <si>
    <t>6.7</t>
  </si>
  <si>
    <t>6.8</t>
  </si>
  <si>
    <t>6.9</t>
  </si>
  <si>
    <t>7</t>
  </si>
  <si>
    <t>A29</t>
  </si>
  <si>
    <t>0.5</t>
  </si>
  <si>
    <t>1.5</t>
  </si>
  <si>
    <t>3</t>
  </si>
  <si>
    <t>Value: 3.00</t>
  </si>
  <si>
    <t>Seed</t>
  </si>
  <si>
    <t>Herbicides</t>
  </si>
  <si>
    <t>Fungicides</t>
  </si>
  <si>
    <t>Insecticides</t>
  </si>
  <si>
    <t>Fertilizer</t>
  </si>
  <si>
    <t>Crop Insurance</t>
  </si>
  <si>
    <t>Fuel &amp; Lubrication</t>
  </si>
  <si>
    <t>Repairs</t>
  </si>
  <si>
    <t>Miscellaneous</t>
  </si>
  <si>
    <t>Operating Interest</t>
  </si>
  <si>
    <t>Winter Kill? WW .3</t>
  </si>
  <si>
    <t>SC Crop switching</t>
  </si>
  <si>
    <t>34</t>
  </si>
  <si>
    <t>-0.1</t>
  </si>
  <si>
    <t>45</t>
  </si>
  <si>
    <t>2.94117647058824E-02</t>
  </si>
  <si>
    <t>5.88235294117647E-02</t>
  </si>
  <si>
    <t>8.82352941176471E-02</t>
  </si>
  <si>
    <t>0.117647058823529</t>
  </si>
  <si>
    <t>0.147058823529412</t>
  </si>
  <si>
    <t>35</t>
  </si>
  <si>
    <t>36</t>
  </si>
  <si>
    <t>37</t>
  </si>
  <si>
    <t>38</t>
  </si>
  <si>
    <t>39</t>
  </si>
  <si>
    <t>Base +3.00</t>
  </si>
  <si>
    <t>Base +4.00</t>
  </si>
  <si>
    <t>Base +5.00</t>
  </si>
  <si>
    <t>D5</t>
  </si>
  <si>
    <t>Base yld / Winter Wheat</t>
  </si>
  <si>
    <t>=G26*I28</t>
  </si>
  <si>
    <t>-1</t>
  </si>
  <si>
    <t>D13</t>
  </si>
  <si>
    <t>WW Price</t>
  </si>
  <si>
    <t>=RiskUniform(G23,I23,RiskName("WW Price"))</t>
  </si>
  <si>
    <t>5.62</t>
  </si>
  <si>
    <t>95.00%</t>
  </si>
  <si>
    <t>99.00%</t>
  </si>
  <si>
    <t>Perc%: 95%</t>
  </si>
  <si>
    <t>Perc%: 99%</t>
  </si>
  <si>
    <t>-10.00%</t>
  </si>
  <si>
    <t>10.00%</t>
  </si>
  <si>
    <t xml:space="preserve">Base + Percent: -10.00% to 10.00% </t>
  </si>
  <si>
    <t>-0.08</t>
  </si>
  <si>
    <t>-0.06</t>
  </si>
  <si>
    <t>-0.04</t>
  </si>
  <si>
    <t>-0.02</t>
  </si>
  <si>
    <t>0.02</t>
  </si>
  <si>
    <t>0.08</t>
  </si>
  <si>
    <t>40.5</t>
  </si>
  <si>
    <t>41.4</t>
  </si>
  <si>
    <t>42.3</t>
  </si>
  <si>
    <t>43.2</t>
  </si>
  <si>
    <t>44.1</t>
  </si>
  <si>
    <t>45.9</t>
  </si>
  <si>
    <t>46.8</t>
  </si>
  <si>
    <t>47.7</t>
  </si>
  <si>
    <t>48.6</t>
  </si>
  <si>
    <t>49.5</t>
  </si>
  <si>
    <t>Base -10.00%</t>
  </si>
  <si>
    <t>Base -8.00%</t>
  </si>
  <si>
    <t>Base -6.00%</t>
  </si>
  <si>
    <t>Base -4.00%</t>
  </si>
  <si>
    <t>Base -2.00%</t>
  </si>
  <si>
    <t>Base +0.00%</t>
  </si>
  <si>
    <t>Base +2.00%</t>
  </si>
  <si>
    <t>Base +4.00%</t>
  </si>
  <si>
    <t>Base +6.00%</t>
  </si>
  <si>
    <t>Base +8.00%</t>
  </si>
  <si>
    <t>Base +10.00%</t>
  </si>
  <si>
    <t>-0.05</t>
  </si>
  <si>
    <t>0.05</t>
  </si>
  <si>
    <t>5.05799989700317</t>
  </si>
  <si>
    <t>5.33899989128113</t>
  </si>
  <si>
    <t>5.61999988555908</t>
  </si>
  <si>
    <t>5.90099987983704</t>
  </si>
  <si>
    <t>6.18199987411499</t>
  </si>
  <si>
    <t>Base -5.00%</t>
  </si>
  <si>
    <t>Base +5.00%</t>
  </si>
  <si>
    <t>I19</t>
  </si>
  <si>
    <t>Total / WW</t>
  </si>
  <si>
    <t>=SUM(I3:I18)</t>
  </si>
  <si>
    <t>191.33</t>
  </si>
  <si>
    <t>-30%</t>
  </si>
  <si>
    <t>30%</t>
  </si>
  <si>
    <t xml:space="preserve">Base + Percent: -30.00% to 30.00% </t>
  </si>
  <si>
    <t>-0.3</t>
  </si>
  <si>
    <t>-0.24</t>
  </si>
  <si>
    <t>-0.18</t>
  </si>
  <si>
    <t>-0.12</t>
  </si>
  <si>
    <t>133.931001281738</t>
  </si>
  <si>
    <t>145.410801391602</t>
  </si>
  <si>
    <t>156.890601501465</t>
  </si>
  <si>
    <t>168.370401611328</t>
  </si>
  <si>
    <t>179.850201721191</t>
  </si>
  <si>
    <t>191.330001831055</t>
  </si>
  <si>
    <t>202.809801940918</t>
  </si>
  <si>
    <t>214.289602050781</t>
  </si>
  <si>
    <t>225.769402160645</t>
  </si>
  <si>
    <t>237.249202270508</t>
  </si>
  <si>
    <t>248.729002380371</t>
  </si>
  <si>
    <t>Base -30.00%</t>
  </si>
  <si>
    <t>Base -24.00%</t>
  </si>
  <si>
    <t>Base -18.00%</t>
  </si>
  <si>
    <t>Base -12.00%</t>
  </si>
  <si>
    <t>Base +12.00%</t>
  </si>
  <si>
    <t>Base +18.00%</t>
  </si>
  <si>
    <t>Base +24.00%</t>
  </si>
  <si>
    <t>Base +30.00%</t>
  </si>
  <si>
    <t>-0.2</t>
  </si>
  <si>
    <t xml:space="preserve">Base + Value: 0 to 0.22 </t>
  </si>
  <si>
    <t>-0.725</t>
  </si>
  <si>
    <t>-0.45</t>
  </si>
  <si>
    <t>-0.175</t>
  </si>
  <si>
    <t>0.055</t>
  </si>
  <si>
    <t>0.165</t>
  </si>
  <si>
    <t>Base -0.20</t>
  </si>
  <si>
    <t>Base -0.15</t>
  </si>
  <si>
    <t>Base +0.02</t>
  </si>
  <si>
    <t>-8.94736842105263E-02</t>
  </si>
  <si>
    <t>-7.89473684210526E-02</t>
  </si>
  <si>
    <t>-0.068421052631579</t>
  </si>
  <si>
    <t>-5.78947368421053E-02</t>
  </si>
  <si>
    <t>-4.73684210526316E-02</t>
  </si>
  <si>
    <t>-3.68421052631579E-02</t>
  </si>
  <si>
    <t>-2.63157894736842E-02</t>
  </si>
  <si>
    <t>-1.57894736842105E-02</t>
  </si>
  <si>
    <t>-5.26315789473684E-03</t>
  </si>
  <si>
    <t>5.26315789473684E-03</t>
  </si>
  <si>
    <t>1.57894736842105E-02</t>
  </si>
  <si>
    <t>2.63157894736842E-02</t>
  </si>
  <si>
    <t>3.68421052631579E-02</t>
  </si>
  <si>
    <t>4.73684210526316E-02</t>
  </si>
  <si>
    <t>5.78947368421053E-02</t>
  </si>
  <si>
    <t>0.068421052631579</t>
  </si>
  <si>
    <t>7.89473684210526E-02</t>
  </si>
  <si>
    <t>8.94736842105263E-02</t>
  </si>
  <si>
    <t>172.197001647949</t>
  </si>
  <si>
    <t>174.211001667223</t>
  </si>
  <si>
    <t>176.225001686498</t>
  </si>
  <si>
    <t>178.239001705772</t>
  </si>
  <si>
    <t>180.253001725046</t>
  </si>
  <si>
    <t>182.267001744321</t>
  </si>
  <si>
    <t>184.281001763595</t>
  </si>
  <si>
    <t>186.295001782869</t>
  </si>
  <si>
    <t>188.309001802143</t>
  </si>
  <si>
    <t>190.323001821418</t>
  </si>
  <si>
    <t>192.337001840692</t>
  </si>
  <si>
    <t>194.351001859966</t>
  </si>
  <si>
    <t>196.36500187924</t>
  </si>
  <si>
    <t>198.379001898515</t>
  </si>
  <si>
    <t>200.393001917789</t>
  </si>
  <si>
    <t>202.407001937063</t>
  </si>
  <si>
    <t>204.421001956337</t>
  </si>
  <si>
    <t>206.435001975612</t>
  </si>
  <si>
    <t>208.449001994886</t>
  </si>
  <si>
    <t>210.46300201416</t>
  </si>
  <si>
    <t>Base -8.95%</t>
  </si>
  <si>
    <t>Base -7.89%</t>
  </si>
  <si>
    <t>Base -6.84%</t>
  </si>
  <si>
    <t>Base -5.79%</t>
  </si>
  <si>
    <t>Base -4.74%</t>
  </si>
  <si>
    <t>Base -3.68%</t>
  </si>
  <si>
    <t>Base -2.63%</t>
  </si>
  <si>
    <t>Base -1.58%</t>
  </si>
  <si>
    <t>Base -0.53%</t>
  </si>
  <si>
    <t>Base +0.53%</t>
  </si>
  <si>
    <t>Base +1.58%</t>
  </si>
  <si>
    <t>Base +2.63%</t>
  </si>
  <si>
    <t>Base +3.68%</t>
  </si>
  <si>
    <t>Base +4.74%</t>
  </si>
  <si>
    <t>Base +5.79%</t>
  </si>
  <si>
    <t>Base +6.84%</t>
  </si>
  <si>
    <t>Base +7.89%</t>
  </si>
  <si>
    <t>Base +8.95%</t>
  </si>
  <si>
    <t>.1</t>
  </si>
  <si>
    <t>.5</t>
  </si>
  <si>
    <t xml:space="preserve">Values: 0.1 to 0.5 </t>
  </si>
  <si>
    <t>0.128571428571429</t>
  </si>
  <si>
    <t>0.157142857142857</t>
  </si>
  <si>
    <t>0.185714285714286</t>
  </si>
  <si>
    <t>0.214285714285714</t>
  </si>
  <si>
    <t>0.242857142857143</t>
  </si>
  <si>
    <t>0.271428571428571</t>
  </si>
  <si>
    <t>0.328571428571429</t>
  </si>
  <si>
    <t>0.357142857142857</t>
  </si>
  <si>
    <t>0.385714285714286</t>
  </si>
  <si>
    <t>0.414285714285714</t>
  </si>
  <si>
    <t>0.442857142857143</t>
  </si>
  <si>
    <t>0.471428571428571</t>
  </si>
  <si>
    <t>Value: 0.10</t>
  </si>
  <si>
    <t>Value: 0.13</t>
  </si>
  <si>
    <t>Value: 0.16</t>
  </si>
  <si>
    <t>Value: 0.19</t>
  </si>
  <si>
    <t>Value: 0.21</t>
  </si>
  <si>
    <t>Value: 0.24</t>
  </si>
  <si>
    <t>Value: 0.27</t>
  </si>
  <si>
    <t>Value: 0.30</t>
  </si>
  <si>
    <t>Value: 0.33</t>
  </si>
  <si>
    <t>Value: 0.36</t>
  </si>
  <si>
    <t>Value: 0.39</t>
  </si>
  <si>
    <t>Value: 0.41</t>
  </si>
  <si>
    <t>Value: 0.44</t>
  </si>
  <si>
    <t>Value: 0.47</t>
  </si>
  <si>
    <t>Value: 0.50</t>
  </si>
  <si>
    <t>G32</t>
  </si>
  <si>
    <t>WW insur cost  differential / m</t>
  </si>
  <si>
    <t>2</t>
  </si>
  <si>
    <t xml:space="preserve">Base + Value: 1.5 to 3.5 </t>
  </si>
  <si>
    <t>0.133333333333333</t>
  </si>
  <si>
    <t>0.266666666666667</t>
  </si>
  <si>
    <t>0.533333333333333</t>
  </si>
  <si>
    <t>0.666666666666667</t>
  </si>
  <si>
    <t>0.8</t>
  </si>
  <si>
    <t>0.933333333333333</t>
  </si>
  <si>
    <t>1.06666666666667</t>
  </si>
  <si>
    <t>1.2</t>
  </si>
  <si>
    <t>1.33333333333333</t>
  </si>
  <si>
    <t>1.7</t>
  </si>
  <si>
    <t>1.9</t>
  </si>
  <si>
    <t>2.1</t>
  </si>
  <si>
    <t>2.3</t>
  </si>
  <si>
    <t>2.5</t>
  </si>
  <si>
    <t>2.7</t>
  </si>
  <si>
    <t>2.9</t>
  </si>
  <si>
    <t>3.1</t>
  </si>
  <si>
    <t>3.3</t>
  </si>
  <si>
    <t>3.5</t>
  </si>
  <si>
    <t>Base +0.20</t>
  </si>
  <si>
    <t>Base +0.40</t>
  </si>
  <si>
    <t>Base +0.60</t>
  </si>
  <si>
    <t>Base +0.80</t>
  </si>
  <si>
    <t>Simulation year</t>
  </si>
  <si>
    <t>Insurance:</t>
  </si>
  <si>
    <t>WW ins cost</t>
  </si>
  <si>
    <t>Production costs</t>
  </si>
  <si>
    <t>NDSU crop budgets</t>
  </si>
  <si>
    <t>year</t>
  </si>
  <si>
    <t>yield</t>
  </si>
  <si>
    <t>price (market year avg)</t>
  </si>
  <si>
    <t>production costs (direct)</t>
  </si>
  <si>
    <t>production costs (w/ insur)</t>
  </si>
  <si>
    <t>production costs (w/o insur)</t>
  </si>
  <si>
    <t>Net</t>
  </si>
  <si>
    <t>WW W/O INS</t>
  </si>
  <si>
    <t>WW W/ INS</t>
  </si>
  <si>
    <t>Insurance Indemnity</t>
  </si>
  <si>
    <t>Net Mean</t>
  </si>
  <si>
    <t xml:space="preserve">Net </t>
  </si>
  <si>
    <t>NPV</t>
  </si>
  <si>
    <t>Total cost w/o Ins</t>
  </si>
  <si>
    <t>WW-2013</t>
  </si>
  <si>
    <t>SW-2013</t>
  </si>
  <si>
    <t>Yield Shift (Mean)</t>
  </si>
  <si>
    <t>Yield Shift (Shape)</t>
  </si>
  <si>
    <t>NDSU crop budgets WW</t>
  </si>
  <si>
    <t>NDSU crop budgets SW</t>
  </si>
  <si>
    <t>Insurance Price</t>
  </si>
  <si>
    <t>SW Production Cost</t>
  </si>
  <si>
    <t>SW Base Yield</t>
  </si>
  <si>
    <t>WW Base Yield</t>
  </si>
  <si>
    <t>WW Production Cost/ac no insur</t>
  </si>
  <si>
    <t>SW Yield Distribution</t>
  </si>
  <si>
    <t>WW Yield distribution</t>
  </si>
  <si>
    <t>WW Total production</t>
  </si>
  <si>
    <t>SW Total Production</t>
  </si>
  <si>
    <t>WW Total cost w/ Ins</t>
  </si>
  <si>
    <t>WW Production Cost w/ Ins</t>
  </si>
  <si>
    <t>WW Gross</t>
  </si>
  <si>
    <t>SW Total Cost</t>
  </si>
  <si>
    <t>SW Price Range &amp;</t>
  </si>
  <si>
    <t>WW Price Range $</t>
  </si>
  <si>
    <t>Base (SW)</t>
  </si>
  <si>
    <t>SW Price</t>
  </si>
  <si>
    <t>SW Gross</t>
  </si>
  <si>
    <t>NO Insurance indemnity</t>
  </si>
  <si>
    <t>SW W/ INS</t>
  </si>
  <si>
    <t>WW Crop Loss Probability</t>
  </si>
  <si>
    <t>WW Crop Loss Extreme Generator</t>
  </si>
  <si>
    <t>SW Crop Loss Probability</t>
  </si>
  <si>
    <t>SW Crop Loss Extreme Generator</t>
  </si>
  <si>
    <t>WW Loss Probability</t>
  </si>
  <si>
    <t>No Change</t>
  </si>
  <si>
    <t>Fast decline</t>
  </si>
  <si>
    <t>Slow decline</t>
  </si>
  <si>
    <t>SW Loss Probability</t>
  </si>
  <si>
    <t>No change</t>
  </si>
  <si>
    <t>Fast Increase</t>
  </si>
  <si>
    <t>Slow Increase</t>
  </si>
  <si>
    <t>Simulation</t>
  </si>
  <si>
    <t>Code</t>
  </si>
  <si>
    <t>WWSD</t>
  </si>
  <si>
    <t>WW EE prob fast decrease</t>
  </si>
  <si>
    <t>WW EE prob slow decrease</t>
  </si>
  <si>
    <t>WWFD</t>
  </si>
  <si>
    <t>SW EE prob slow increase</t>
  </si>
  <si>
    <t>SWSD</t>
  </si>
  <si>
    <t>NPV No Change</t>
  </si>
  <si>
    <t>NPV Fast Decrease in Crop Loss</t>
  </si>
  <si>
    <t>GF1_rK0qDwEADgCXAQwjACYAYAB/AJMAlACiALAAcgGTAY0BKgD//wAAAAAAAQQAAAAALF8oJCogIywjIzBfKTtfKCQqICgjLCMjMCk7XygkKiAiLSI/P18pO18oQF8pAAAAARlXVyBObyBJbnMgTlBWIChObyBDaGFuZ2UpAQABARAAAgABClN0YXRpc3RpY3MDAQEA/wEBAQEBAAEBAQAEAAAAAQEBAQEAAQEBAAQAAAAGwwAC5wACBAECHAECNAECUwECIAAZV1cgTm8gSW5zIE5QViAoTm8gQ2hhbmdlKQAALwECAAIAGQASV1cgTlBWIChObyBDaGFuZ2UpAQElAQIAAgAUAA1XVyBOUFYgKFNsb3cpAQJPAQIAAgAUAA1XVyBOUFYgKEZhc3QpAQOMAQIAAgAbABRXVyBObyBJbnMgTlBWIChTbG93KQEETAECAAIAGwAUV1cgTm8gSW5zIE5QViAoRmFzdCkBBTkBAgACAHoBhAEBAQIBmpmZmZmZqT8AAAAAAACIKkFBAQUAAQEBAAEBAQA=</t>
  </si>
  <si>
    <t>&gt;75%</t>
  </si>
  <si>
    <t>&lt;25%</t>
  </si>
  <si>
    <t>&gt;90%</t>
  </si>
  <si>
    <t>GF1_rK0qDwEADgCrAQwjACYAYAB/AJMAlAC3AMUAhwGnAaEBKgD//wAAAAAAAQQAAAAALF8oJCogIywjIzBfKTtfKCQqICgjLCMjMCk7XygkKiAiLSI/P18pO18oQF8pAAAAARlXVyBObyBJbnMgTlBWIChObyBDaGFuZ2UpAQABARAAAgABClN0YXRpc3RpY3MDAQEA/wEBAQEBAAEAAAAAANASU8EAAAAAWAhIQQEGAOsDAQAEAAAAAQEBAQEAAQEBAAQAAAAG2AAC/AACGQECMQECSQECaAECIAAZV1cgTm8gSW5zIE5QViAoTm8gQ2hhbmdlKQAALwECAAIAGQASU1cgTlBWIChObyBDaGFuZ2UpAQElAQIAAgAUAA1TVyBOUFYgKFNsb3cpAQJPAQIAAgAUAA1TVyBOUFYgKEZhc3QpAQOMAQIAAgAbABRXVyBObyBJbnMgTlBWIChTbG93KQEETAECAAIAGwAUV1cgTm8gSW5zIE5QViAoRmFzdCkBBTkBAgACAI8BmAEBAQYBAAAAAAAAAAABAAAAACTzNUEBBQABAQEAAQEBAA==</t>
  </si>
  <si>
    <t>GF1_rK0qDwEADgD8AAwjACYAYAB+AJIAkwChAK8A1gD4APIAKgD//wAAAAAAAQQAAAAALF8oJCogIywjIzBfKTtfKCQqICgjLCMjMCk7XygkKiAiLSI/P18pO18oQF8pAAAAARhXVyBOZXQgVy9JTlMgKE5vIENoYW5nZSkBAAEBEAACAAEKU3RhdGlzdGljcwMBAQD/AQEBAQEAAQEBAAQAAAABAQEBAQABAQEABAAAAAGzAAIfABhXVyBOZXQgVy9JTlMgKE5vIENoYW5nZSkAAC8BAgACAN4A6AABAQIBmpmZmZmZqT8AAGZmZmZmZu4/AAAFAAEBAQABAQEA</t>
  </si>
  <si>
    <t>GF1_rK0qDwEADgAsAQwjACYAYAB+AJIAkwChAK8ABgEoASIBKgD//wAAAAAAAQQAAAAALF8oJCogIywjIzBfKTtfKCQqICgjLCMjMCk7XygkKiAiLSI/P18pO18oQF8pAAAAARhXVyBOUFYgKEFsbCBTaW11bGF0aW9ucykBAAEBEAACAAEKU3RhdGlzdGljcwMBAQD/AQEBAQEAAQEBAAQAAAABAQEBAQABAQEABAAAAAO5AALWAALuAAIZABJXVyBOUFYgKE5vIENoYW5nZSkAAC8BAgACABQADVdXIE5QViAoU2xvdykBASUBAgACABQADVdXIE5QViAoRmFzdCkBAk8BAgACAA4BGAEBAQIBmpmZmZmZqT8AAGZmZmZmZu4/AAAFAAEBAQABAQEA</t>
  </si>
  <si>
    <t>GF1_rK0qDwEADgAsAQwjACYAYAB+AJIAkwChAK8ABgEoASIBKgD//wAAAAAAAQQAAAAALF8oJCogIywjIzBfKTtfKCQqICgjLCMjMCk7XygkKiAiLSI/P18pO18oQF8pAAAAARhTVyBOUFYgKEFsbCBTaW11bGF0aW9ucykBAAEBEAACAAEKU3RhdGlzdGljcwMBAQD/AQEBAQEAAQEBAAQAAAABAQEBAQABAQEABAAAAAO5AALWAALuAAIZABJTVyBOUFYgKE5vIENoYW5nZSkAAC8BAgACABQADVNXIE5QViAoU2xvdykBASUBAgACABQADVNXIE5QViAoRmFzdCkBAk8BAgACAA4BGAEBAQIBmpmZmZmZqT8AAGZmZmZmZu4/AAAFAAEBAQABAQEA</t>
  </si>
  <si>
    <t>GF1_rK0qDwEADgAsAQwjACYAYAB+AJIAkwChAK8ABgEoASIBKgD//wAEAAAAAQQAAAAALF8oJCogIywjIzBfKTtfKCQqICgjLCMjMCk7XygkKiAiLSI/P18pO18oQF8pAAAAARhTVyBOUFYgKEFsbCBTaW11bGF0aW9ucykBAAEBEAACAAEKU3RhdGlzdGljcwMBAQD/AQEBAQEAAQEBAAQAAAABAQEBAQABAQEABAAAAAO5AALWAALuAAIZABJTVyBOUFYgKE5vIENoYW5nZSkAAC8BAgACABQADVNXIE5QViAoU2xvdykBASUBAgACABQADVNXIE5QViAoRmFzdCkBAk8BAgACAA4BGAEBAQIBmpmZmZmZqT8AAGZmZmZmZu4/AAAFAAEBAQABAQEA</t>
  </si>
  <si>
    <t>NPV Mean</t>
  </si>
  <si>
    <t>Slow Change</t>
  </si>
  <si>
    <t>Indemity %</t>
  </si>
  <si>
    <t>Fast Change</t>
  </si>
  <si>
    <t>WW W/ Emerging Ins</t>
  </si>
  <si>
    <t>Insurance threshold</t>
  </si>
  <si>
    <t>Results</t>
  </si>
  <si>
    <t xml:space="preserve"> </t>
  </si>
  <si>
    <t>Fast Rate</t>
  </si>
  <si>
    <t>Slow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</si>
</sst>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0.0"/>
    <numFmt numFmtId="165" formatCode="&quot;$&quot;#,##0"/>
    <numFmt numFmtId="166" formatCode="&quot;$&quot;#,##0.00"/>
    <numFmt numFmtId="167" formatCode="_(&quot;$&quot;* #,##0_);_(&quot;$&quot;* \(#,##0\);_(&quot;$&quot;* &quot;-&quot;??_);_(@_)"/>
  </numFmts>
  <fonts count="27"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Helv"/>
    </font>
    <font>
      <sz val="10"/>
      <name val="Arial"/>
      <family val="2"/>
    </font>
    <font>
      <sz val="10"/>
      <name val="Arial"/>
      <family val="2"/>
    </font>
    <font>
      <sz val="10"/>
      <color indexed="12"/>
      <name val="Arial"/>
      <family val="2"/>
    </font>
    <font>
      <sz val="10"/>
      <color indexed="12"/>
      <name val="Arial"/>
      <family val="2"/>
    </font>
    <font>
      <sz val="11"/>
      <name val="Calibri"/>
      <family val="2"/>
      <scheme val="minor"/>
    </font>
    <font>
      <b/>
      <sz val="11"/>
      <color theme="7" tint="-0.24994659260841701"/>
      <name val="Calibri"/>
      <family val="2"/>
      <scheme val="minor"/>
    </font>
    <font>
      <sz val="11"/>
      <color theme="7" tint="-0.2499465926084170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25"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9" fillId="0" borderId="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3" fillId="0" borderId="0"/>
    <xf numFmtId="0" fontId="3" fillId="8" borderId="8" applyNumberFormat="0" applyFont="0" applyAlignment="0" applyProtection="0"/>
    <xf numFmtId="44" fontId="20" fillId="0" borderId="0" applyFont="0" applyFill="0" applyBorder="0" applyAlignment="0" applyProtection="0"/>
    <xf numFmtId="44" fontId="3" fillId="0" borderId="0" applyFont="0" applyFill="0" applyBorder="0" applyAlignment="0" applyProtection="0"/>
  </cellStyleXfs>
  <cellXfs count="80">
    <xf numFmtId="0" fontId="0" fillId="0" borderId="0" xfId="0"/>
    <xf numFmtId="0" fontId="0" fillId="0" borderId="0" xfId="0" applyBorder="1"/>
    <xf numFmtId="1" fontId="0" fillId="0" borderId="0" xfId="0" applyNumberFormat="1"/>
    <xf numFmtId="6" fontId="0" fillId="0" borderId="0" xfId="0" applyNumberFormat="1"/>
    <xf numFmtId="8" fontId="0" fillId="0" borderId="0" xfId="0" applyNumberFormat="1"/>
    <xf numFmtId="9" fontId="0" fillId="0" borderId="0" xfId="0" applyNumberFormat="1"/>
    <xf numFmtId="0" fontId="0" fillId="0" borderId="0" xfId="0" quotePrefix="1"/>
    <xf numFmtId="2" fontId="0" fillId="0" borderId="0" xfId="0" applyNumberFormat="1"/>
    <xf numFmtId="0" fontId="0" fillId="0" borderId="0" xfId="0" applyFill="1"/>
    <xf numFmtId="2" fontId="11" fillId="5" borderId="4" xfId="9" applyNumberFormat="1"/>
    <xf numFmtId="0" fontId="11" fillId="5" borderId="4" xfId="9"/>
    <xf numFmtId="2" fontId="22" fillId="0" borderId="0" xfId="0" applyNumberFormat="1" applyFont="1" applyProtection="1">
      <protection locked="0"/>
    </xf>
    <xf numFmtId="2" fontId="22" fillId="0" borderId="0" xfId="0" applyNumberFormat="1" applyFont="1" applyBorder="1" applyProtection="1">
      <protection locked="0"/>
    </xf>
    <xf numFmtId="0" fontId="11" fillId="5" borderId="4" xfId="9" applyNumberFormat="1"/>
    <xf numFmtId="3" fontId="0" fillId="0" borderId="0" xfId="0" applyNumberFormat="1"/>
    <xf numFmtId="165" fontId="0" fillId="0" borderId="0" xfId="0" applyNumberFormat="1"/>
    <xf numFmtId="166" fontId="0" fillId="0" borderId="0" xfId="0" applyNumberFormat="1"/>
    <xf numFmtId="0" fontId="0" fillId="0" borderId="0" xfId="0" quotePrefix="1" applyBorder="1"/>
    <xf numFmtId="0" fontId="0" fillId="0" borderId="11" xfId="0" applyBorder="1"/>
    <xf numFmtId="0" fontId="0" fillId="0" borderId="12" xfId="0" applyBorder="1"/>
    <xf numFmtId="0" fontId="0" fillId="0" borderId="13" xfId="0" applyBorder="1"/>
    <xf numFmtId="0" fontId="0" fillId="0" borderId="10" xfId="0" quotePrefix="1" applyBorder="1"/>
    <xf numFmtId="0" fontId="0" fillId="0" borderId="0" xfId="0" applyBorder="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22" fillId="0" borderId="0" xfId="0" applyFont="1" applyBorder="1" applyProtection="1">
      <protection locked="0"/>
    </xf>
    <xf numFmtId="0" fontId="22" fillId="0" borderId="10" xfId="0" applyFont="1" applyBorder="1" applyProtection="1">
      <protection locked="0"/>
    </xf>
    <xf numFmtId="2" fontId="22" fillId="0" borderId="10" xfId="0" applyNumberFormat="1" applyFont="1" applyBorder="1" applyProtection="1">
      <protection locked="0"/>
    </xf>
    <xf numFmtId="164" fontId="0" fillId="0" borderId="0" xfId="0" applyNumberFormat="1" applyAlignment="1">
      <alignment horizontal="left"/>
    </xf>
    <xf numFmtId="2" fontId="23" fillId="0" borderId="0" xfId="0" applyNumberFormat="1" applyFont="1" applyProtection="1">
      <protection locked="0"/>
    </xf>
    <xf numFmtId="0" fontId="17" fillId="0" borderId="0" xfId="0" applyFont="1"/>
    <xf numFmtId="0" fontId="11" fillId="0" borderId="4" xfId="9" applyFill="1"/>
    <xf numFmtId="0" fontId="17" fillId="0" borderId="11" xfId="0" applyFont="1" applyBorder="1"/>
    <xf numFmtId="0" fontId="17" fillId="0" borderId="0" xfId="0" applyFont="1" applyBorder="1"/>
    <xf numFmtId="0" fontId="24" fillId="33" borderId="4" xfId="9" applyFont="1" applyFill="1" applyAlignment="1">
      <alignment horizontal="center"/>
    </xf>
    <xf numFmtId="0" fontId="0" fillId="0" borderId="12" xfId="0" applyBorder="1" applyAlignment="1">
      <alignment horizontal="center"/>
    </xf>
    <xf numFmtId="2" fontId="0" fillId="0" borderId="10" xfId="0" applyNumberFormat="1" applyBorder="1"/>
    <xf numFmtId="0" fontId="0" fillId="0" borderId="10" xfId="0" applyBorder="1"/>
    <xf numFmtId="0" fontId="0" fillId="0" borderId="0" xfId="0" applyBorder="1"/>
    <xf numFmtId="2" fontId="22" fillId="0" borderId="0" xfId="0" applyNumberFormat="1" applyFont="1" applyBorder="1" applyProtection="1">
      <protection locked="0"/>
    </xf>
    <xf numFmtId="2" fontId="0" fillId="0" borderId="0" xfId="0" applyNumberFormat="1" applyBorder="1"/>
    <xf numFmtId="0" fontId="13" fillId="0" borderId="6" xfId="12"/>
    <xf numFmtId="2" fontId="25" fillId="6" borderId="4" xfId="11" applyNumberFormat="1"/>
    <xf numFmtId="0" fontId="25" fillId="6" borderId="4" xfId="11"/>
    <xf numFmtId="0" fontId="3" fillId="19" borderId="0" xfId="27"/>
    <xf numFmtId="0" fontId="3" fillId="11" borderId="0" xfId="19"/>
    <xf numFmtId="0" fontId="0" fillId="11" borderId="0" xfId="19" applyFont="1"/>
    <xf numFmtId="0" fontId="0" fillId="11" borderId="0" xfId="19" applyFont="1" applyBorder="1"/>
    <xf numFmtId="0" fontId="3" fillId="19" borderId="0" xfId="27" applyAlignment="1">
      <alignment wrapText="1"/>
    </xf>
    <xf numFmtId="0" fontId="3" fillId="11" borderId="0" xfId="19" applyBorder="1" applyAlignment="1">
      <alignment wrapText="1"/>
    </xf>
    <xf numFmtId="0" fontId="3" fillId="11" borderId="0" xfId="19" applyBorder="1"/>
    <xf numFmtId="0" fontId="0" fillId="19" borderId="0" xfId="27" applyFont="1" applyBorder="1"/>
    <xf numFmtId="0" fontId="17" fillId="0" borderId="0" xfId="0" applyFont="1" applyFill="1"/>
    <xf numFmtId="0" fontId="0" fillId="19" borderId="0" xfId="27" applyFont="1"/>
    <xf numFmtId="44" fontId="13" fillId="0" borderId="6" xfId="48" applyFont="1" applyBorder="1"/>
    <xf numFmtId="167" fontId="0" fillId="0" borderId="0" xfId="48" applyNumberFormat="1" applyFont="1"/>
    <xf numFmtId="167" fontId="25" fillId="6" borderId="4" xfId="11" applyNumberFormat="1"/>
    <xf numFmtId="166" fontId="17" fillId="0" borderId="0" xfId="0" applyNumberFormat="1" applyFont="1"/>
    <xf numFmtId="44" fontId="25" fillId="6" borderId="4" xfId="11" applyNumberFormat="1"/>
    <xf numFmtId="44" fontId="13" fillId="0" borderId="6" xfId="12" applyNumberFormat="1"/>
    <xf numFmtId="167" fontId="0" fillId="0" borderId="0" xfId="0" applyNumberFormat="1"/>
    <xf numFmtId="0" fontId="0" fillId="0" borderId="0" xfId="0" applyAlignment="1">
      <alignment horizontal="right"/>
    </xf>
    <xf numFmtId="165" fontId="17" fillId="11" borderId="0" xfId="19" applyNumberFormat="1" applyFont="1"/>
    <xf numFmtId="165" fontId="3" fillId="11" borderId="0" xfId="19" applyNumberFormat="1" applyAlignment="1">
      <alignment horizontal="right"/>
    </xf>
    <xf numFmtId="165" fontId="0" fillId="11" borderId="0" xfId="19" applyNumberFormat="1" applyFont="1" applyAlignment="1">
      <alignment horizontal="right"/>
    </xf>
    <xf numFmtId="165" fontId="17" fillId="11" borderId="0" xfId="19" applyNumberFormat="1" applyFont="1" applyAlignment="1">
      <alignment horizontal="left"/>
    </xf>
    <xf numFmtId="167" fontId="26" fillId="6" borderId="4" xfId="11" applyNumberFormat="1" applyFont="1"/>
    <xf numFmtId="0" fontId="0" fillId="0" borderId="0" xfId="0" applyFont="1"/>
    <xf numFmtId="165" fontId="3" fillId="11" borderId="0" xfId="19" applyNumberFormat="1" applyFont="1" applyAlignment="1">
      <alignment horizontal="right"/>
    </xf>
    <xf numFmtId="165" fontId="17" fillId="19" borderId="0" xfId="27" applyNumberFormat="1" applyFont="1"/>
    <xf numFmtId="165" fontId="17" fillId="19" borderId="0" xfId="27" applyNumberFormat="1" applyFont="1" applyBorder="1"/>
    <xf numFmtId="165" fontId="3" fillId="19" borderId="0" xfId="27" applyNumberFormat="1" applyAlignment="1">
      <alignment horizontal="right"/>
    </xf>
    <xf numFmtId="165" fontId="3" fillId="19" borderId="0" xfId="27" applyNumberFormat="1" applyBorder="1" applyAlignment="1">
      <alignment horizontal="right"/>
    </xf>
    <xf numFmtId="165" fontId="3" fillId="19" borderId="0" xfId="27" applyNumberFormat="1" applyFont="1" applyBorder="1" applyAlignment="1">
      <alignment horizontal="right"/>
    </xf>
    <xf numFmtId="165" fontId="0" fillId="19" borderId="0" xfId="27" applyNumberFormat="1" applyFont="1" applyBorder="1" applyAlignment="1">
      <alignment horizontal="right"/>
    </xf>
    <xf numFmtId="165" fontId="17" fillId="19" borderId="0" xfId="27" applyNumberFormat="1" applyFont="1" applyBorder="1" applyAlignment="1">
      <alignment horizontal="left"/>
    </xf>
    <xf numFmtId="0" fontId="0" fillId="0" borderId="16" xfId="0" applyBorder="1" applyAlignment="1">
      <alignment wrapText="1"/>
    </xf>
    <xf numFmtId="44" fontId="0" fillId="0" borderId="0" xfId="0" applyNumberFormat="1"/>
  </cellXfs>
  <cellStyles count="49">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xfId="48" builtinId="4"/>
    <cellStyle name="Currency 2" xfId="42"/>
    <cellStyle name="Currency 2 2" xfId="43"/>
    <cellStyle name="Currency 2 2 2" xfId="47"/>
    <cellStyle name="Currency 3" xfId="4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5"/>
    <cellStyle name="Normal 3" xfId="41"/>
    <cellStyle name="Note 2" xfId="46"/>
    <cellStyle name="Output" xfId="10" builtinId="21" customBuiltin="1"/>
    <cellStyle name="Title" xfId="1" builtinId="15" customBuiltin="1"/>
    <cellStyle name="Total" xfId="16" builtinId="25" customBuiltin="1"/>
    <cellStyle name="Warning Text" xfId="14" builtinId="11" customBuiltin="1"/>
  </cellStyles>
  <dxfs count="23">
    <dxf>
      <border>
        <left style="thin">
          <color rgb="FF00FF00"/>
        </left>
        <right style="thin">
          <color rgb="FF00FF00"/>
        </right>
        <top style="thin">
          <color rgb="FF00FF00"/>
        </top>
        <bottom style="thin">
          <color rgb="FF00FF00"/>
        </bottom>
      </border>
    </dxf>
    <dxf>
      <border>
        <left style="thin">
          <color rgb="FF0000FF"/>
        </left>
        <right style="thin">
          <color rgb="FF0000FF"/>
        </right>
        <top style="thin">
          <color rgb="FF0000FF"/>
        </top>
        <bottom style="thin">
          <color rgb="FF0000FF"/>
        </bottom>
      </border>
    </dxf>
    <dxf>
      <border>
        <left style="thin">
          <color rgb="FFDC143C"/>
        </left>
        <right style="thin">
          <color rgb="FFDC143C"/>
        </right>
        <top style="thin">
          <color rgb="FFDC143C"/>
        </top>
        <bottom style="thin">
          <color rgb="FFDC143C"/>
        </bottom>
      </border>
    </dxf>
    <dxf>
      <border>
        <left style="thin">
          <color rgb="FFDC143C"/>
        </left>
        <right style="thin">
          <color rgb="FFDC143C"/>
        </right>
        <top style="thin">
          <color rgb="FFDC143C"/>
        </top>
        <bottom style="thin">
          <color rgb="FFDC143C"/>
        </bottom>
      </border>
    </dxf>
    <dxf>
      <border>
        <left style="thin">
          <color rgb="FFDC143C"/>
        </left>
        <right style="thin">
          <color rgb="FFDC143C"/>
        </right>
        <top style="thin">
          <color rgb="FFDC143C"/>
        </top>
        <bottom style="thin">
          <color rgb="FFDC143C"/>
        </bottom>
      </border>
    </dxf>
    <dxf>
      <border>
        <left style="thin">
          <color rgb="FFDC143C"/>
        </left>
        <right style="thin">
          <color rgb="FFDC143C"/>
        </right>
        <top style="thin">
          <color rgb="FFDC143C"/>
        </top>
        <bottom style="thin">
          <color rgb="FFDC143C"/>
        </bottom>
      </border>
    </dxf>
    <dxf>
      <border>
        <left style="thin">
          <color rgb="FF00FF00"/>
        </left>
        <right style="thin">
          <color rgb="FF00FF00"/>
        </right>
        <top style="thin">
          <color rgb="FF00FF00"/>
        </top>
        <bottom style="thin">
          <color rgb="FF00FF00"/>
        </bottom>
      </border>
    </dxf>
    <dxf>
      <border>
        <left style="thin">
          <color rgb="FF0000FF"/>
        </left>
        <right style="thin">
          <color rgb="FF0000FF"/>
        </right>
        <top style="thin">
          <color rgb="FF0000FF"/>
        </top>
        <bottom style="thin">
          <color rgb="FF0000FF"/>
        </bottom>
      </border>
    </dxf>
    <dxf>
      <border>
        <left style="thin">
          <color rgb="FFDC143C"/>
        </left>
        <right style="thin">
          <color rgb="FFDC143C"/>
        </right>
        <top style="thin">
          <color rgb="FFDC143C"/>
        </top>
        <bottom style="thin">
          <color rgb="FFDC143C"/>
        </bottom>
      </border>
    </dxf>
    <dxf>
      <font>
        <color rgb="FF000000"/>
      </font>
      <fill>
        <patternFill>
          <bgColor rgb="FF00FFFF"/>
        </patternFill>
      </fill>
    </dxf>
    <dxf>
      <font>
        <color rgb="FFFFFFFF"/>
      </font>
      <fill>
        <patternFill>
          <bgColor rgb="FFDC143C"/>
        </patternFill>
      </fill>
    </dxf>
    <dxf>
      <font>
        <color rgb="FF000000"/>
      </font>
      <fill>
        <patternFill>
          <bgColor rgb="FF80FF80"/>
        </patternFill>
      </fill>
    </dxf>
    <dxf>
      <font>
        <color rgb="FF000000"/>
      </font>
      <fill>
        <patternFill>
          <bgColor rgb="FFFF8080"/>
        </patternFill>
      </fill>
    </dxf>
    <dxf>
      <font>
        <color rgb="FF000000"/>
      </font>
      <fill>
        <patternFill>
          <bgColor rgb="FF80FF80"/>
        </patternFill>
      </fill>
    </dxf>
    <dxf>
      <font>
        <color rgb="FF000000"/>
      </font>
      <fill>
        <patternFill>
          <bgColor rgb="FF80FF80"/>
        </patternFill>
      </fill>
    </dxf>
    <dxf>
      <font>
        <color rgb="FF000000"/>
      </font>
      <fill>
        <patternFill>
          <bgColor rgb="FF90EE90"/>
        </patternFill>
      </fill>
    </dxf>
    <dxf>
      <font>
        <color rgb="FF000000"/>
      </font>
      <fill>
        <patternFill>
          <bgColor rgb="FF90EE90"/>
        </patternFill>
      </fill>
    </dxf>
    <dxf>
      <font>
        <color rgb="FF000000"/>
      </font>
      <fill>
        <patternFill>
          <bgColor rgb="FFFF8080"/>
        </patternFill>
      </fill>
    </dxf>
    <dxf>
      <font>
        <color rgb="FF000000"/>
      </font>
      <fill>
        <patternFill>
          <bgColor rgb="FF80FFFF"/>
        </patternFill>
      </fill>
    </dxf>
    <dxf>
      <font>
        <color rgb="FF000000"/>
      </font>
      <fill>
        <patternFill>
          <bgColor rgb="FFFF8080"/>
        </patternFill>
      </fill>
    </dxf>
    <dxf>
      <border>
        <left style="thin">
          <color rgb="FF0000FF"/>
        </left>
        <right style="thin">
          <color rgb="FF0000FF"/>
        </right>
        <top style="thin">
          <color rgb="FF0000FF"/>
        </top>
        <bottom style="thin">
          <color rgb="FF0000FF"/>
        </bottom>
      </border>
    </dxf>
    <dxf>
      <font>
        <color rgb="FFFFFFFF"/>
      </font>
      <fill>
        <patternFill>
          <bgColor rgb="FF0000FF"/>
        </patternFill>
      </fill>
    </dxf>
    <dxf>
      <font>
        <color rgb="FFFFFFFF"/>
      </font>
      <fill>
        <patternFill>
          <bgColor rgb="FFDC143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Winter Wheat No</a:t>
            </a:r>
            <a:r>
              <a:rPr lang="en-US" baseline="0"/>
              <a:t> Insurance</a:t>
            </a:r>
            <a:endParaRPr lang="en-US"/>
          </a:p>
        </c:rich>
      </c:tx>
      <c:layout/>
      <c:overlay val="0"/>
    </c:title>
    <c:autoTitleDeleted val="0"/>
    <c:plotArea>
      <c:layout>
        <c:manualLayout>
          <c:layoutTarget val="inner"/>
          <c:xMode val="edge"/>
          <c:yMode val="edge"/>
          <c:x val="9.1521862087110897E-2"/>
          <c:y val="9.0940033398418191E-2"/>
          <c:w val="0.69404170996452352"/>
          <c:h val="0.84225557117993255"/>
        </c:manualLayout>
      </c:layout>
      <c:lineChart>
        <c:grouping val="standard"/>
        <c:varyColors val="0"/>
        <c:ser>
          <c:idx val="0"/>
          <c:order val="0"/>
          <c:tx>
            <c:v>No Change (B30-AE30)</c:v>
          </c:tx>
          <c:marker>
            <c:symbol val="none"/>
          </c:marker>
          <c:val>
            <c:numRef>
              <c:f>Model!$B$30:$AE$30</c:f>
              <c:numCache>
                <c:formatCode>_("$"* #,##0_);_("$"* \(#,##0\);_("$"* "-"??_);_(@_)</c:formatCode>
                <c:ptCount val="30"/>
                <c:pt idx="0">
                  <c:v>1420703.308</c:v>
                </c:pt>
                <c:pt idx="1">
                  <c:v>1393370.6950000001</c:v>
                </c:pt>
                <c:pt idx="2">
                  <c:v>1365498.2819999999</c:v>
                </c:pt>
                <c:pt idx="3">
                  <c:v>1339023.04</c:v>
                </c:pt>
                <c:pt idx="4">
                  <c:v>1308347.0630000001</c:v>
                </c:pt>
                <c:pt idx="5">
                  <c:v>1273753.1029999999</c:v>
                </c:pt>
                <c:pt idx="6">
                  <c:v>1242843.246</c:v>
                </c:pt>
                <c:pt idx="7">
                  <c:v>1209193.0090000001</c:v>
                </c:pt>
                <c:pt idx="8">
                  <c:v>1177223.6669999999</c:v>
                </c:pt>
                <c:pt idx="9">
                  <c:v>1142513.753</c:v>
                </c:pt>
                <c:pt idx="10">
                  <c:v>1105140.814</c:v>
                </c:pt>
                <c:pt idx="11">
                  <c:v>1071353.905</c:v>
                </c:pt>
                <c:pt idx="12">
                  <c:v>1035139.559</c:v>
                </c:pt>
                <c:pt idx="13">
                  <c:v>995393.26419999998</c:v>
                </c:pt>
                <c:pt idx="14">
                  <c:v>954209.89020000002</c:v>
                </c:pt>
                <c:pt idx="15">
                  <c:v>912179.42890000006</c:v>
                </c:pt>
                <c:pt idx="16">
                  <c:v>867021.94990000001</c:v>
                </c:pt>
                <c:pt idx="17">
                  <c:v>824959.78890000004</c:v>
                </c:pt>
                <c:pt idx="18">
                  <c:v>782609.47959999996</c:v>
                </c:pt>
                <c:pt idx="19">
                  <c:v>738288.80700000003</c:v>
                </c:pt>
                <c:pt idx="20">
                  <c:v>696544.47699999996</c:v>
                </c:pt>
                <c:pt idx="21">
                  <c:v>652238.12399999995</c:v>
                </c:pt>
                <c:pt idx="22">
                  <c:v>598621.18050000002</c:v>
                </c:pt>
                <c:pt idx="23">
                  <c:v>547158.51619999995</c:v>
                </c:pt>
                <c:pt idx="24">
                  <c:v>493643.12229999999</c:v>
                </c:pt>
                <c:pt idx="25">
                  <c:v>438201.22859999997</c:v>
                </c:pt>
                <c:pt idx="26">
                  <c:v>385618.53840000002</c:v>
                </c:pt>
                <c:pt idx="27">
                  <c:v>321086.1004</c:v>
                </c:pt>
                <c:pt idx="28">
                  <c:v>262818.39569999999</c:v>
                </c:pt>
                <c:pt idx="29">
                  <c:v>202461.11809999999</c:v>
                </c:pt>
              </c:numCache>
            </c:numRef>
          </c:val>
          <c:smooth val="0"/>
        </c:ser>
        <c:ser>
          <c:idx val="1"/>
          <c:order val="1"/>
          <c:tx>
            <c:v>Slow Change (B33-AE33)</c:v>
          </c:tx>
          <c:marker>
            <c:symbol val="none"/>
          </c:marker>
          <c:val>
            <c:numRef>
              <c:f>Model!$B$33:$AE$33</c:f>
              <c:numCache>
                <c:formatCode>_("$"* #,##0_);_("$"* \(#,##0\);_("$"* "-"??_);_(@_)</c:formatCode>
                <c:ptCount val="30"/>
                <c:pt idx="0">
                  <c:v>2979405.477</c:v>
                </c:pt>
                <c:pt idx="1">
                  <c:v>2998833.929</c:v>
                </c:pt>
                <c:pt idx="2">
                  <c:v>3012237.0210000002</c:v>
                </c:pt>
                <c:pt idx="3">
                  <c:v>3018076.9610000001</c:v>
                </c:pt>
                <c:pt idx="4">
                  <c:v>3013928.3390000002</c:v>
                </c:pt>
                <c:pt idx="5">
                  <c:v>3000215.2080000001</c:v>
                </c:pt>
                <c:pt idx="6">
                  <c:v>2982590.236</c:v>
                </c:pt>
                <c:pt idx="7">
                  <c:v>2956806.983</c:v>
                </c:pt>
                <c:pt idx="8">
                  <c:v>2924933.7340000002</c:v>
                </c:pt>
                <c:pt idx="9">
                  <c:v>2882004.284</c:v>
                </c:pt>
                <c:pt idx="10">
                  <c:v>2829202.5120000001</c:v>
                </c:pt>
                <c:pt idx="11">
                  <c:v>2770309.2340000002</c:v>
                </c:pt>
                <c:pt idx="12">
                  <c:v>2700989.173</c:v>
                </c:pt>
                <c:pt idx="13">
                  <c:v>2621607.1940000001</c:v>
                </c:pt>
                <c:pt idx="14">
                  <c:v>2532768.3080000002</c:v>
                </c:pt>
                <c:pt idx="15">
                  <c:v>2435820.611</c:v>
                </c:pt>
                <c:pt idx="16">
                  <c:v>2324075.057</c:v>
                </c:pt>
                <c:pt idx="17">
                  <c:v>2202459.1039999998</c:v>
                </c:pt>
                <c:pt idx="18">
                  <c:v>2072826.6429999999</c:v>
                </c:pt>
                <c:pt idx="19">
                  <c:v>1930705.352</c:v>
                </c:pt>
                <c:pt idx="20">
                  <c:v>1779943.6510000001</c:v>
                </c:pt>
                <c:pt idx="21">
                  <c:v>1625290.9080000001</c:v>
                </c:pt>
                <c:pt idx="22">
                  <c:v>1465098.3589999999</c:v>
                </c:pt>
                <c:pt idx="23">
                  <c:v>1300845.94</c:v>
                </c:pt>
                <c:pt idx="24">
                  <c:v>1128959.639</c:v>
                </c:pt>
                <c:pt idx="25">
                  <c:v>955271.66330000001</c:v>
                </c:pt>
                <c:pt idx="26">
                  <c:v>775910.08089999994</c:v>
                </c:pt>
                <c:pt idx="27">
                  <c:v>591041.09739999997</c:v>
                </c:pt>
                <c:pt idx="28">
                  <c:v>399654.09519999998</c:v>
                </c:pt>
                <c:pt idx="29">
                  <c:v>202461.11809999999</c:v>
                </c:pt>
              </c:numCache>
            </c:numRef>
          </c:val>
          <c:smooth val="0"/>
        </c:ser>
        <c:ser>
          <c:idx val="2"/>
          <c:order val="2"/>
          <c:tx>
            <c:v>Fast Change(B36-AE36)</c:v>
          </c:tx>
          <c:marker>
            <c:symbol val="none"/>
          </c:marker>
          <c:val>
            <c:numRef>
              <c:f>Model!$B$36:$AE$36</c:f>
              <c:numCache>
                <c:formatCode>_("$"* #,##0_);_("$"* \(#,##0\);_("$"* "-"??_);_(@_)</c:formatCode>
                <c:ptCount val="30"/>
                <c:pt idx="0">
                  <c:v>2688666.4079999998</c:v>
                </c:pt>
                <c:pt idx="1">
                  <c:v>2699372.6869999999</c:v>
                </c:pt>
                <c:pt idx="2">
                  <c:v>2705346.6069999998</c:v>
                </c:pt>
                <c:pt idx="3">
                  <c:v>2705928.6880000001</c:v>
                </c:pt>
                <c:pt idx="4">
                  <c:v>2698775.97</c:v>
                </c:pt>
                <c:pt idx="5">
                  <c:v>2683572.344</c:v>
                </c:pt>
                <c:pt idx="6">
                  <c:v>2666483.5499999998</c:v>
                </c:pt>
                <c:pt idx="7">
                  <c:v>2642637.2650000001</c:v>
                </c:pt>
                <c:pt idx="8">
                  <c:v>2614140.1519999998</c:v>
                </c:pt>
                <c:pt idx="9">
                  <c:v>2577000.4530000002</c:v>
                </c:pt>
                <c:pt idx="10">
                  <c:v>2533934.9509999999</c:v>
                </c:pt>
                <c:pt idx="11">
                  <c:v>2486499.7059999998</c:v>
                </c:pt>
                <c:pt idx="12">
                  <c:v>2432349.7880000002</c:v>
                </c:pt>
                <c:pt idx="13">
                  <c:v>2368750.6120000002</c:v>
                </c:pt>
                <c:pt idx="14">
                  <c:v>2296721.4939999999</c:v>
                </c:pt>
                <c:pt idx="15">
                  <c:v>2217805.6140000001</c:v>
                </c:pt>
                <c:pt idx="16">
                  <c:v>2129415.59</c:v>
                </c:pt>
                <c:pt idx="17">
                  <c:v>2035100.156</c:v>
                </c:pt>
                <c:pt idx="18">
                  <c:v>1935751.5419999999</c:v>
                </c:pt>
                <c:pt idx="19">
                  <c:v>1824689.1540000001</c:v>
                </c:pt>
                <c:pt idx="20">
                  <c:v>1704586.6029999999</c:v>
                </c:pt>
                <c:pt idx="21">
                  <c:v>1575029.915</c:v>
                </c:pt>
                <c:pt idx="22">
                  <c:v>1434329.692</c:v>
                </c:pt>
                <c:pt idx="23">
                  <c:v>1285315.111</c:v>
                </c:pt>
                <c:pt idx="24">
                  <c:v>1124391.1880000001</c:v>
                </c:pt>
                <c:pt idx="25">
                  <c:v>955271.66330000001</c:v>
                </c:pt>
                <c:pt idx="26">
                  <c:v>775910.08089999994</c:v>
                </c:pt>
                <c:pt idx="27">
                  <c:v>591041.09739999997</c:v>
                </c:pt>
                <c:pt idx="28">
                  <c:v>399654.09519999998</c:v>
                </c:pt>
                <c:pt idx="29">
                  <c:v>202461.11809999999</c:v>
                </c:pt>
              </c:numCache>
            </c:numRef>
          </c:val>
          <c:smooth val="0"/>
        </c:ser>
        <c:dLbls>
          <c:showLegendKey val="0"/>
          <c:showVal val="0"/>
          <c:showCatName val="0"/>
          <c:showSerName val="0"/>
          <c:showPercent val="0"/>
          <c:showBubbleSize val="0"/>
        </c:dLbls>
        <c:marker val="1"/>
        <c:smooth val="0"/>
        <c:axId val="109807488"/>
        <c:axId val="127016320"/>
      </c:lineChart>
      <c:catAx>
        <c:axId val="109807488"/>
        <c:scaling>
          <c:orientation val="minMax"/>
        </c:scaling>
        <c:delete val="0"/>
        <c:axPos val="b"/>
        <c:majorTickMark val="out"/>
        <c:minorTickMark val="none"/>
        <c:tickLblPos val="nextTo"/>
        <c:crossAx val="127016320"/>
        <c:crosses val="autoZero"/>
        <c:auto val="1"/>
        <c:lblAlgn val="ctr"/>
        <c:lblOffset val="100"/>
        <c:noMultiLvlLbl val="0"/>
      </c:catAx>
      <c:valAx>
        <c:axId val="127016320"/>
        <c:scaling>
          <c:orientation val="minMax"/>
        </c:scaling>
        <c:delete val="0"/>
        <c:axPos val="l"/>
        <c:majorGridlines/>
        <c:numFmt formatCode="_(&quot;$&quot;* #,##0_);_(&quot;$&quot;* \(#,##0\);_(&quot;$&quot;* &quot;-&quot;??_);_(@_)" sourceLinked="1"/>
        <c:majorTickMark val="out"/>
        <c:minorTickMark val="none"/>
        <c:tickLblPos val="nextTo"/>
        <c:crossAx val="1098074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Winter Wheat With</a:t>
            </a:r>
            <a:r>
              <a:rPr lang="en-US" baseline="0"/>
              <a:t> Insurance</a:t>
            </a:r>
            <a:endParaRPr lang="en-US"/>
          </a:p>
        </c:rich>
      </c:tx>
      <c:layout/>
      <c:overlay val="0"/>
    </c:title>
    <c:autoTitleDeleted val="0"/>
    <c:plotArea>
      <c:layout>
        <c:manualLayout>
          <c:layoutTarget val="inner"/>
          <c:xMode val="edge"/>
          <c:yMode val="edge"/>
          <c:x val="9.1521862087110897E-2"/>
          <c:y val="9.0940033398418191E-2"/>
          <c:w val="0.69404170996452352"/>
          <c:h val="0.84225557117993255"/>
        </c:manualLayout>
      </c:layout>
      <c:lineChart>
        <c:grouping val="standard"/>
        <c:varyColors val="0"/>
        <c:ser>
          <c:idx val="0"/>
          <c:order val="0"/>
          <c:tx>
            <c:v>No Change (B44-AE44)</c:v>
          </c:tx>
          <c:marker>
            <c:symbol val="none"/>
          </c:marker>
          <c:val>
            <c:numRef>
              <c:f>Model!$B$44:$AE$44</c:f>
              <c:numCache>
                <c:formatCode>_("$"* #,##0_);_("$"* \(#,##0\);_("$"* "-"??_);_(@_)</c:formatCode>
                <c:ptCount val="30"/>
                <c:pt idx="0">
                  <c:v>3998922.7919999999</c:v>
                </c:pt>
                <c:pt idx="1">
                  <c:v>3914811.4989999998</c:v>
                </c:pt>
                <c:pt idx="2">
                  <c:v>3827727.8810000001</c:v>
                </c:pt>
                <c:pt idx="3">
                  <c:v>3740938.0550000002</c:v>
                </c:pt>
                <c:pt idx="4">
                  <c:v>3649844.625</c:v>
                </c:pt>
                <c:pt idx="5">
                  <c:v>3551832.7749999999</c:v>
                </c:pt>
                <c:pt idx="6">
                  <c:v>3455973.0060000001</c:v>
                </c:pt>
                <c:pt idx="7">
                  <c:v>3354629.4219999998</c:v>
                </c:pt>
                <c:pt idx="8">
                  <c:v>3253657.801</c:v>
                </c:pt>
                <c:pt idx="9">
                  <c:v>3147904.0350000001</c:v>
                </c:pt>
                <c:pt idx="10">
                  <c:v>3036757.6529999999</c:v>
                </c:pt>
                <c:pt idx="11">
                  <c:v>2925092.9309999999</c:v>
                </c:pt>
                <c:pt idx="12">
                  <c:v>2810231.2829999998</c:v>
                </c:pt>
                <c:pt idx="13">
                  <c:v>2690469.9780000001</c:v>
                </c:pt>
                <c:pt idx="14">
                  <c:v>2566464.602</c:v>
                </c:pt>
                <c:pt idx="15">
                  <c:v>2439199.108</c:v>
                </c:pt>
                <c:pt idx="16">
                  <c:v>2307109.5269999998</c:v>
                </c:pt>
                <c:pt idx="17">
                  <c:v>2173648.577</c:v>
                </c:pt>
                <c:pt idx="18">
                  <c:v>2037281.247</c:v>
                </c:pt>
                <c:pt idx="19">
                  <c:v>1895837.11</c:v>
                </c:pt>
                <c:pt idx="20">
                  <c:v>1753728.2949999999</c:v>
                </c:pt>
                <c:pt idx="21">
                  <c:v>1607047.719</c:v>
                </c:pt>
                <c:pt idx="22">
                  <c:v>1449153.433</c:v>
                </c:pt>
                <c:pt idx="23">
                  <c:v>1289709.3470000001</c:v>
                </c:pt>
                <c:pt idx="24">
                  <c:v>1125301.075</c:v>
                </c:pt>
                <c:pt idx="25">
                  <c:v>955565.64199999999</c:v>
                </c:pt>
                <c:pt idx="26">
                  <c:v>783348.08689999999</c:v>
                </c:pt>
                <c:pt idx="27">
                  <c:v>599720.62549999997</c:v>
                </c:pt>
                <c:pt idx="28">
                  <c:v>415365.85580000002</c:v>
                </c:pt>
                <c:pt idx="29">
                  <c:v>225974.63070000001</c:v>
                </c:pt>
              </c:numCache>
            </c:numRef>
          </c:val>
          <c:smooth val="0"/>
        </c:ser>
        <c:ser>
          <c:idx val="1"/>
          <c:order val="1"/>
          <c:tx>
            <c:v>Slow Change (B47-AE47)</c:v>
          </c:tx>
          <c:marker>
            <c:symbol val="none"/>
          </c:marker>
          <c:val>
            <c:numRef>
              <c:f>Model!$B$47:$AE$47</c:f>
              <c:numCache>
                <c:formatCode>_("$"* #,##0_);_("$"* \(#,##0\);_("$"* "-"??_);_(@_)</c:formatCode>
                <c:ptCount val="30"/>
                <c:pt idx="0">
                  <c:v>4332913.034</c:v>
                </c:pt>
                <c:pt idx="1">
                  <c:v>4258821.4479999999</c:v>
                </c:pt>
                <c:pt idx="2">
                  <c:v>4181141.8870000001</c:v>
                </c:pt>
                <c:pt idx="3">
                  <c:v>4100007.2280000001</c:v>
                </c:pt>
                <c:pt idx="4">
                  <c:v>4013790.4550000001</c:v>
                </c:pt>
                <c:pt idx="5">
                  <c:v>3920358.51</c:v>
                </c:pt>
                <c:pt idx="6">
                  <c:v>3826908.1609999998</c:v>
                </c:pt>
                <c:pt idx="7">
                  <c:v>3728043.702</c:v>
                </c:pt>
                <c:pt idx="8">
                  <c:v>3627582.9819999998</c:v>
                </c:pt>
                <c:pt idx="9">
                  <c:v>3520296.5589999999</c:v>
                </c:pt>
                <c:pt idx="10">
                  <c:v>3406240.9939999999</c:v>
                </c:pt>
                <c:pt idx="11">
                  <c:v>3289088.6609999998</c:v>
                </c:pt>
                <c:pt idx="12">
                  <c:v>3166447.949</c:v>
                </c:pt>
                <c:pt idx="13">
                  <c:v>3038303.3990000002</c:v>
                </c:pt>
                <c:pt idx="14">
                  <c:v>2904673.4709999999</c:v>
                </c:pt>
                <c:pt idx="15">
                  <c:v>2767796.7629999998</c:v>
                </c:pt>
                <c:pt idx="16">
                  <c:v>2621525.3470000001</c:v>
                </c:pt>
                <c:pt idx="17">
                  <c:v>2470002.7200000002</c:v>
                </c:pt>
                <c:pt idx="18">
                  <c:v>2315077.3939999999</c:v>
                </c:pt>
                <c:pt idx="19">
                  <c:v>2152658.531</c:v>
                </c:pt>
                <c:pt idx="20">
                  <c:v>1984343.4709999999</c:v>
                </c:pt>
                <c:pt idx="21">
                  <c:v>1811847.148</c:v>
                </c:pt>
                <c:pt idx="22">
                  <c:v>1632812.902</c:v>
                </c:pt>
                <c:pt idx="23">
                  <c:v>1449319.733</c:v>
                </c:pt>
                <c:pt idx="24">
                  <c:v>1258530.28</c:v>
                </c:pt>
                <c:pt idx="25">
                  <c:v>1064788.0330000001</c:v>
                </c:pt>
                <c:pt idx="26">
                  <c:v>864824.73880000005</c:v>
                </c:pt>
                <c:pt idx="27">
                  <c:v>658508.522</c:v>
                </c:pt>
                <c:pt idx="28">
                  <c:v>445349.98249999998</c:v>
                </c:pt>
                <c:pt idx="29">
                  <c:v>225974.63070000001</c:v>
                </c:pt>
              </c:numCache>
            </c:numRef>
          </c:val>
          <c:smooth val="0"/>
        </c:ser>
        <c:ser>
          <c:idx val="2"/>
          <c:order val="2"/>
          <c:tx>
            <c:v>Fast Change(B50-AE50)</c:v>
          </c:tx>
          <c:marker>
            <c:symbol val="none"/>
          </c:marker>
          <c:val>
            <c:numRef>
              <c:f>Model!$B$50:$AE$50</c:f>
              <c:numCache>
                <c:formatCode>_("$"* #,##0_);_("$"* \(#,##0\);_("$"* "-"??_);_(@_)</c:formatCode>
                <c:ptCount val="30"/>
                <c:pt idx="0">
                  <c:v>4269828.0539999995</c:v>
                </c:pt>
                <c:pt idx="1">
                  <c:v>4193843.9190000002</c:v>
                </c:pt>
                <c:pt idx="2">
                  <c:v>4114366.3870000001</c:v>
                </c:pt>
                <c:pt idx="3">
                  <c:v>4032078.3480000002</c:v>
                </c:pt>
                <c:pt idx="4">
                  <c:v>3945294.65</c:v>
                </c:pt>
                <c:pt idx="5">
                  <c:v>3851586.193</c:v>
                </c:pt>
                <c:pt idx="6">
                  <c:v>3758555.5129999998</c:v>
                </c:pt>
                <c:pt idx="7">
                  <c:v>3659700.0989999999</c:v>
                </c:pt>
                <c:pt idx="8">
                  <c:v>3559324.9350000001</c:v>
                </c:pt>
                <c:pt idx="9">
                  <c:v>3452308.2790000001</c:v>
                </c:pt>
                <c:pt idx="10">
                  <c:v>3340941.0109999999</c:v>
                </c:pt>
                <c:pt idx="11">
                  <c:v>3226868.3130000001</c:v>
                </c:pt>
                <c:pt idx="12">
                  <c:v>3108841.8229999999</c:v>
                </c:pt>
                <c:pt idx="13">
                  <c:v>2984394.6469999999</c:v>
                </c:pt>
                <c:pt idx="14">
                  <c:v>2853654.58</c:v>
                </c:pt>
                <c:pt idx="15">
                  <c:v>2719464.102</c:v>
                </c:pt>
                <c:pt idx="16">
                  <c:v>2578798.6159999999</c:v>
                </c:pt>
                <c:pt idx="17">
                  <c:v>2433984.5780000002</c:v>
                </c:pt>
                <c:pt idx="18">
                  <c:v>2286762.017</c:v>
                </c:pt>
                <c:pt idx="19">
                  <c:v>2130563.9029999999</c:v>
                </c:pt>
                <c:pt idx="20">
                  <c:v>1968980.83</c:v>
                </c:pt>
                <c:pt idx="21">
                  <c:v>1801819.983</c:v>
                </c:pt>
                <c:pt idx="22">
                  <c:v>1626593.1569999999</c:v>
                </c:pt>
                <c:pt idx="23">
                  <c:v>1445827.368</c:v>
                </c:pt>
                <c:pt idx="24">
                  <c:v>1257823.68</c:v>
                </c:pt>
                <c:pt idx="25">
                  <c:v>1064788.0330000001</c:v>
                </c:pt>
                <c:pt idx="26">
                  <c:v>864824.73880000005</c:v>
                </c:pt>
                <c:pt idx="27">
                  <c:v>658508.522</c:v>
                </c:pt>
                <c:pt idx="28">
                  <c:v>445349.98249999998</c:v>
                </c:pt>
                <c:pt idx="29">
                  <c:v>225974.63070000001</c:v>
                </c:pt>
              </c:numCache>
            </c:numRef>
          </c:val>
          <c:smooth val="0"/>
        </c:ser>
        <c:ser>
          <c:idx val="3"/>
          <c:order val="3"/>
          <c:tx>
            <c:v>SW</c:v>
          </c:tx>
          <c:marker>
            <c:symbol val="none"/>
          </c:marker>
          <c:val>
            <c:numRef>
              <c:f>Model!$B$73:$AE$73</c:f>
              <c:numCache>
                <c:formatCode>_("$"* #,##0_);_("$"* \(#,##0\);_("$"* "-"??_);_(@_)</c:formatCode>
                <c:ptCount val="30"/>
                <c:pt idx="0">
                  <c:v>3804208.32</c:v>
                </c:pt>
                <c:pt idx="1">
                  <c:v>3723158.7179999999</c:v>
                </c:pt>
                <c:pt idx="2">
                  <c:v>3640749.233</c:v>
                </c:pt>
                <c:pt idx="3">
                  <c:v>3555227.111</c:v>
                </c:pt>
                <c:pt idx="4">
                  <c:v>3467549.952</c:v>
                </c:pt>
                <c:pt idx="5">
                  <c:v>3378698.8190000001</c:v>
                </c:pt>
                <c:pt idx="6">
                  <c:v>3285903.824</c:v>
                </c:pt>
                <c:pt idx="7">
                  <c:v>3191064.6510000001</c:v>
                </c:pt>
                <c:pt idx="8">
                  <c:v>3091829.608</c:v>
                </c:pt>
                <c:pt idx="9">
                  <c:v>2990363.1140000001</c:v>
                </c:pt>
                <c:pt idx="10">
                  <c:v>2885867.9569999999</c:v>
                </c:pt>
                <c:pt idx="11">
                  <c:v>2778825.952</c:v>
                </c:pt>
                <c:pt idx="12">
                  <c:v>2667911.8029999998</c:v>
                </c:pt>
                <c:pt idx="13">
                  <c:v>2554277.9909999999</c:v>
                </c:pt>
                <c:pt idx="14">
                  <c:v>2437940.193</c:v>
                </c:pt>
                <c:pt idx="15">
                  <c:v>2317084.4610000001</c:v>
                </c:pt>
                <c:pt idx="16">
                  <c:v>2191711.6630000002</c:v>
                </c:pt>
                <c:pt idx="17">
                  <c:v>2063791.084</c:v>
                </c:pt>
                <c:pt idx="18">
                  <c:v>1931621.0959999999</c:v>
                </c:pt>
                <c:pt idx="19">
                  <c:v>1795027.57</c:v>
                </c:pt>
                <c:pt idx="20">
                  <c:v>1654413.2960000001</c:v>
                </c:pt>
                <c:pt idx="21">
                  <c:v>1511102.6610000001</c:v>
                </c:pt>
                <c:pt idx="22">
                  <c:v>1361462.1669999999</c:v>
                </c:pt>
                <c:pt idx="23">
                  <c:v>1207046.2649999999</c:v>
                </c:pt>
                <c:pt idx="24">
                  <c:v>1049398.6070000001</c:v>
                </c:pt>
                <c:pt idx="25">
                  <c:v>887722.21609999996</c:v>
                </c:pt>
                <c:pt idx="26">
                  <c:v>722250.98309999995</c:v>
                </c:pt>
                <c:pt idx="27">
                  <c:v>550287.13450000004</c:v>
                </c:pt>
                <c:pt idx="28">
                  <c:v>371883.51740000001</c:v>
                </c:pt>
                <c:pt idx="29">
                  <c:v>188596.541</c:v>
                </c:pt>
              </c:numCache>
            </c:numRef>
          </c:val>
          <c:smooth val="0"/>
        </c:ser>
        <c:dLbls>
          <c:showLegendKey val="0"/>
          <c:showVal val="0"/>
          <c:showCatName val="0"/>
          <c:showSerName val="0"/>
          <c:showPercent val="0"/>
          <c:showBubbleSize val="0"/>
        </c:dLbls>
        <c:marker val="1"/>
        <c:smooth val="0"/>
        <c:axId val="132583424"/>
        <c:axId val="132586880"/>
      </c:lineChart>
      <c:catAx>
        <c:axId val="132583424"/>
        <c:scaling>
          <c:orientation val="minMax"/>
        </c:scaling>
        <c:delete val="0"/>
        <c:axPos val="b"/>
        <c:majorTickMark val="out"/>
        <c:minorTickMark val="none"/>
        <c:tickLblPos val="nextTo"/>
        <c:crossAx val="132586880"/>
        <c:crosses val="autoZero"/>
        <c:auto val="1"/>
        <c:lblAlgn val="ctr"/>
        <c:lblOffset val="100"/>
        <c:noMultiLvlLbl val="0"/>
      </c:catAx>
      <c:valAx>
        <c:axId val="132586880"/>
        <c:scaling>
          <c:orientation val="minMax"/>
        </c:scaling>
        <c:delete val="0"/>
        <c:axPos val="l"/>
        <c:majorGridlines/>
        <c:numFmt formatCode="_(&quot;$&quot;* #,##0_);_(&quot;$&quot;* \(#,##0\);_(&quot;$&quot;* &quot;-&quot;??_);_(@_)" sourceLinked="1"/>
        <c:majorTickMark val="out"/>
        <c:minorTickMark val="none"/>
        <c:tickLblPos val="nextTo"/>
        <c:crossAx val="132583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Winter Wheat With Emerging Insurance</a:t>
            </a:r>
          </a:p>
        </c:rich>
      </c:tx>
      <c:layout/>
      <c:overlay val="0"/>
    </c:title>
    <c:autoTitleDeleted val="0"/>
    <c:plotArea>
      <c:layout>
        <c:manualLayout>
          <c:layoutTarget val="inner"/>
          <c:xMode val="edge"/>
          <c:yMode val="edge"/>
          <c:x val="9.1521862087110897E-2"/>
          <c:y val="9.0940033398418191E-2"/>
          <c:w val="0.69404170996452352"/>
          <c:h val="0.84225557117993255"/>
        </c:manualLayout>
      </c:layout>
      <c:lineChart>
        <c:grouping val="standard"/>
        <c:varyColors val="0"/>
        <c:ser>
          <c:idx val="1"/>
          <c:order val="0"/>
          <c:tx>
            <c:v>Slow Change (B62-AE62)</c:v>
          </c:tx>
          <c:marker>
            <c:symbol val="none"/>
          </c:marker>
          <c:val>
            <c:numRef>
              <c:f>Model!$B$62:$AE$62</c:f>
              <c:numCache>
                <c:formatCode>_("$"* #,##0_);_("$"* \(#,##0\);_("$"* "-"??_);_(@_)</c:formatCode>
                <c:ptCount val="30"/>
                <c:pt idx="0">
                  <c:v>3192488.3369999998</c:v>
                </c:pt>
                <c:pt idx="1">
                  <c:v>3218309.2749999999</c:v>
                </c:pt>
                <c:pt idx="2">
                  <c:v>3238296.6269999999</c:v>
                </c:pt>
                <c:pt idx="3">
                  <c:v>3250918.355</c:v>
                </c:pt>
                <c:pt idx="4">
                  <c:v>3253754.9750000001</c:v>
                </c:pt>
                <c:pt idx="5">
                  <c:v>3247236.6430000002</c:v>
                </c:pt>
                <c:pt idx="6">
                  <c:v>3237022.3149999999</c:v>
                </c:pt>
                <c:pt idx="7">
                  <c:v>3218872.023</c:v>
                </c:pt>
                <c:pt idx="8">
                  <c:v>3194860.7259999998</c:v>
                </c:pt>
                <c:pt idx="9">
                  <c:v>3160029.0860000001</c:v>
                </c:pt>
                <c:pt idx="10">
                  <c:v>3115568.0580000002</c:v>
                </c:pt>
                <c:pt idx="11">
                  <c:v>3065265.7459999998</c:v>
                </c:pt>
                <c:pt idx="12">
                  <c:v>3004794.38</c:v>
                </c:pt>
                <c:pt idx="13">
                  <c:v>2934526.5580000002</c:v>
                </c:pt>
                <c:pt idx="14">
                  <c:v>2855075.253</c:v>
                </c:pt>
                <c:pt idx="15">
                  <c:v>2767796.7629999998</c:v>
                </c:pt>
                <c:pt idx="16">
                  <c:v>2621525.3470000001</c:v>
                </c:pt>
                <c:pt idx="17">
                  <c:v>2470002.7200000002</c:v>
                </c:pt>
                <c:pt idx="18">
                  <c:v>2315077.3939999999</c:v>
                </c:pt>
                <c:pt idx="19">
                  <c:v>2152658.531</c:v>
                </c:pt>
                <c:pt idx="20">
                  <c:v>1984343.4709999999</c:v>
                </c:pt>
                <c:pt idx="21">
                  <c:v>1811847.148</c:v>
                </c:pt>
                <c:pt idx="22">
                  <c:v>1632812.902</c:v>
                </c:pt>
                <c:pt idx="23">
                  <c:v>1449319.733</c:v>
                </c:pt>
                <c:pt idx="24">
                  <c:v>1258530.28</c:v>
                </c:pt>
                <c:pt idx="25">
                  <c:v>1064788.0330000001</c:v>
                </c:pt>
                <c:pt idx="26">
                  <c:v>864824.73880000005</c:v>
                </c:pt>
                <c:pt idx="27">
                  <c:v>658508.522</c:v>
                </c:pt>
                <c:pt idx="28">
                  <c:v>445349.98249999998</c:v>
                </c:pt>
                <c:pt idx="29">
                  <c:v>225974.63070000001</c:v>
                </c:pt>
              </c:numCache>
            </c:numRef>
          </c:val>
          <c:smooth val="0"/>
        </c:ser>
        <c:ser>
          <c:idx val="2"/>
          <c:order val="1"/>
          <c:tx>
            <c:v>Fast Change(B65-AE65)</c:v>
          </c:tx>
          <c:marker>
            <c:symbol val="none"/>
          </c:marker>
          <c:val>
            <c:numRef>
              <c:f>Model!$B$65:$AE$65</c:f>
              <c:numCache>
                <c:formatCode>_("$"* #,##0_);_("$"* \(#,##0\);_("$"* "-"??_);_(@_)</c:formatCode>
                <c:ptCount val="30"/>
                <c:pt idx="0">
                  <c:v>2835055.0809999998</c:v>
                </c:pt>
                <c:pt idx="1">
                  <c:v>2850153.0210000002</c:v>
                </c:pt>
                <c:pt idx="2">
                  <c:v>2860650.35</c:v>
                </c:pt>
                <c:pt idx="3">
                  <c:v>2865891.5430000001</c:v>
                </c:pt>
                <c:pt idx="4">
                  <c:v>2863537.7119999998</c:v>
                </c:pt>
                <c:pt idx="5">
                  <c:v>2853276.9380000001</c:v>
                </c:pt>
                <c:pt idx="6">
                  <c:v>2841279.2820000001</c:v>
                </c:pt>
                <c:pt idx="7">
                  <c:v>2822676.8689999999</c:v>
                </c:pt>
                <c:pt idx="8">
                  <c:v>2799580.9440000001</c:v>
                </c:pt>
                <c:pt idx="9">
                  <c:v>2768004.4679999999</c:v>
                </c:pt>
                <c:pt idx="10">
                  <c:v>2730669.0869999998</c:v>
                </c:pt>
                <c:pt idx="11">
                  <c:v>2689135.8659999999</c:v>
                </c:pt>
                <c:pt idx="12">
                  <c:v>2641065.0329999998</c:v>
                </c:pt>
                <c:pt idx="13">
                  <c:v>2583727.3149999999</c:v>
                </c:pt>
                <c:pt idx="14">
                  <c:v>2518147.497</c:v>
                </c:pt>
                <c:pt idx="15">
                  <c:v>2445874.398</c:v>
                </c:pt>
                <c:pt idx="16">
                  <c:v>2364326.4369999999</c:v>
                </c:pt>
                <c:pt idx="17">
                  <c:v>2277058.3280000002</c:v>
                </c:pt>
                <c:pt idx="18">
                  <c:v>2184968.4589999998</c:v>
                </c:pt>
                <c:pt idx="19">
                  <c:v>2081382.5789999999</c:v>
                </c:pt>
                <c:pt idx="20">
                  <c:v>1968980.83</c:v>
                </c:pt>
                <c:pt idx="21">
                  <c:v>1801819.983</c:v>
                </c:pt>
                <c:pt idx="22">
                  <c:v>1626593.1569999999</c:v>
                </c:pt>
                <c:pt idx="23">
                  <c:v>1445827.368</c:v>
                </c:pt>
                <c:pt idx="24">
                  <c:v>1257823.68</c:v>
                </c:pt>
                <c:pt idx="25">
                  <c:v>1064788.0330000001</c:v>
                </c:pt>
                <c:pt idx="26">
                  <c:v>864824.73880000005</c:v>
                </c:pt>
                <c:pt idx="27">
                  <c:v>658508.522</c:v>
                </c:pt>
                <c:pt idx="28">
                  <c:v>445349.98249999998</c:v>
                </c:pt>
                <c:pt idx="29">
                  <c:v>225974.63070000001</c:v>
                </c:pt>
              </c:numCache>
            </c:numRef>
          </c:val>
          <c:smooth val="0"/>
        </c:ser>
        <c:ser>
          <c:idx val="3"/>
          <c:order val="2"/>
          <c:tx>
            <c:strRef>
              <c:f>Model!$B$73</c:f>
              <c:strCache>
                <c:ptCount val="1"/>
                <c:pt idx="0">
                  <c:v> $3,804,208 </c:v>
                </c:pt>
              </c:strCache>
            </c:strRef>
          </c:tx>
          <c:marker>
            <c:symbol val="none"/>
          </c:marker>
          <c:val>
            <c:numRef>
              <c:f>Model!$B$73:$AE$73</c:f>
              <c:numCache>
                <c:formatCode>_("$"* #,##0_);_("$"* \(#,##0\);_("$"* "-"??_);_(@_)</c:formatCode>
                <c:ptCount val="30"/>
                <c:pt idx="0">
                  <c:v>3804208.32</c:v>
                </c:pt>
                <c:pt idx="1">
                  <c:v>3723158.7179999999</c:v>
                </c:pt>
                <c:pt idx="2">
                  <c:v>3640749.233</c:v>
                </c:pt>
                <c:pt idx="3">
                  <c:v>3555227.111</c:v>
                </c:pt>
                <c:pt idx="4">
                  <c:v>3467549.952</c:v>
                </c:pt>
                <c:pt idx="5">
                  <c:v>3378698.8190000001</c:v>
                </c:pt>
                <c:pt idx="6">
                  <c:v>3285903.824</c:v>
                </c:pt>
                <c:pt idx="7">
                  <c:v>3191064.6510000001</c:v>
                </c:pt>
                <c:pt idx="8">
                  <c:v>3091829.608</c:v>
                </c:pt>
                <c:pt idx="9">
                  <c:v>2990363.1140000001</c:v>
                </c:pt>
                <c:pt idx="10">
                  <c:v>2885867.9569999999</c:v>
                </c:pt>
                <c:pt idx="11">
                  <c:v>2778825.952</c:v>
                </c:pt>
                <c:pt idx="12">
                  <c:v>2667911.8029999998</c:v>
                </c:pt>
                <c:pt idx="13">
                  <c:v>2554277.9909999999</c:v>
                </c:pt>
                <c:pt idx="14">
                  <c:v>2437940.193</c:v>
                </c:pt>
                <c:pt idx="15">
                  <c:v>2317084.4610000001</c:v>
                </c:pt>
                <c:pt idx="16">
                  <c:v>2191711.6630000002</c:v>
                </c:pt>
                <c:pt idx="17">
                  <c:v>2063791.084</c:v>
                </c:pt>
                <c:pt idx="18">
                  <c:v>1931621.0959999999</c:v>
                </c:pt>
                <c:pt idx="19">
                  <c:v>1795027.57</c:v>
                </c:pt>
                <c:pt idx="20">
                  <c:v>1654413.2960000001</c:v>
                </c:pt>
                <c:pt idx="21">
                  <c:v>1511102.6610000001</c:v>
                </c:pt>
                <c:pt idx="22">
                  <c:v>1361462.1669999999</c:v>
                </c:pt>
                <c:pt idx="23">
                  <c:v>1207046.2649999999</c:v>
                </c:pt>
                <c:pt idx="24">
                  <c:v>1049398.6070000001</c:v>
                </c:pt>
                <c:pt idx="25">
                  <c:v>887722.21609999996</c:v>
                </c:pt>
                <c:pt idx="26">
                  <c:v>722250.98309999995</c:v>
                </c:pt>
                <c:pt idx="27">
                  <c:v>550287.13450000004</c:v>
                </c:pt>
                <c:pt idx="28">
                  <c:v>371883.51740000001</c:v>
                </c:pt>
                <c:pt idx="29">
                  <c:v>188596.541</c:v>
                </c:pt>
              </c:numCache>
            </c:numRef>
          </c:val>
          <c:smooth val="0"/>
        </c:ser>
        <c:ser>
          <c:idx val="0"/>
          <c:order val="3"/>
          <c:tx>
            <c:v>WW no ins slow</c:v>
          </c:tx>
          <c:marker>
            <c:symbol val="none"/>
          </c:marker>
          <c:val>
            <c:numRef>
              <c:f>Model!$B$33:$AE$33</c:f>
              <c:numCache>
                <c:formatCode>_("$"* #,##0_);_("$"* \(#,##0\);_("$"* "-"??_);_(@_)</c:formatCode>
                <c:ptCount val="30"/>
                <c:pt idx="0">
                  <c:v>2979405.477</c:v>
                </c:pt>
                <c:pt idx="1">
                  <c:v>2998833.929</c:v>
                </c:pt>
                <c:pt idx="2">
                  <c:v>3012237.0210000002</c:v>
                </c:pt>
                <c:pt idx="3">
                  <c:v>3018076.9610000001</c:v>
                </c:pt>
                <c:pt idx="4">
                  <c:v>3013928.3390000002</c:v>
                </c:pt>
                <c:pt idx="5">
                  <c:v>3000215.2080000001</c:v>
                </c:pt>
                <c:pt idx="6">
                  <c:v>2982590.236</c:v>
                </c:pt>
                <c:pt idx="7">
                  <c:v>2956806.983</c:v>
                </c:pt>
                <c:pt idx="8">
                  <c:v>2924933.7340000002</c:v>
                </c:pt>
                <c:pt idx="9">
                  <c:v>2882004.284</c:v>
                </c:pt>
                <c:pt idx="10">
                  <c:v>2829202.5120000001</c:v>
                </c:pt>
                <c:pt idx="11">
                  <c:v>2770309.2340000002</c:v>
                </c:pt>
                <c:pt idx="12">
                  <c:v>2700989.173</c:v>
                </c:pt>
                <c:pt idx="13">
                  <c:v>2621607.1940000001</c:v>
                </c:pt>
                <c:pt idx="14">
                  <c:v>2532768.3080000002</c:v>
                </c:pt>
                <c:pt idx="15">
                  <c:v>2435820.611</c:v>
                </c:pt>
                <c:pt idx="16">
                  <c:v>2324075.057</c:v>
                </c:pt>
                <c:pt idx="17">
                  <c:v>2202459.1039999998</c:v>
                </c:pt>
                <c:pt idx="18">
                  <c:v>2072826.6429999999</c:v>
                </c:pt>
                <c:pt idx="19">
                  <c:v>1930705.352</c:v>
                </c:pt>
                <c:pt idx="20">
                  <c:v>1779943.6510000001</c:v>
                </c:pt>
                <c:pt idx="21">
                  <c:v>1625290.9080000001</c:v>
                </c:pt>
                <c:pt idx="22">
                  <c:v>1465098.3589999999</c:v>
                </c:pt>
                <c:pt idx="23">
                  <c:v>1300845.94</c:v>
                </c:pt>
                <c:pt idx="24">
                  <c:v>1128959.639</c:v>
                </c:pt>
                <c:pt idx="25">
                  <c:v>955271.66330000001</c:v>
                </c:pt>
                <c:pt idx="26">
                  <c:v>775910.08089999994</c:v>
                </c:pt>
                <c:pt idx="27">
                  <c:v>591041.09739999997</c:v>
                </c:pt>
                <c:pt idx="28">
                  <c:v>399654.09519999998</c:v>
                </c:pt>
                <c:pt idx="29">
                  <c:v>202461.11809999999</c:v>
                </c:pt>
              </c:numCache>
            </c:numRef>
          </c:val>
          <c:smooth val="0"/>
        </c:ser>
        <c:ser>
          <c:idx val="4"/>
          <c:order val="4"/>
          <c:tx>
            <c:v>WW no ins fast</c:v>
          </c:tx>
          <c:marker>
            <c:symbol val="none"/>
          </c:marker>
          <c:val>
            <c:numRef>
              <c:f>Model!$B$36:$AE$36</c:f>
              <c:numCache>
                <c:formatCode>_("$"* #,##0_);_("$"* \(#,##0\);_("$"* "-"??_);_(@_)</c:formatCode>
                <c:ptCount val="30"/>
                <c:pt idx="0">
                  <c:v>2688666.4079999998</c:v>
                </c:pt>
                <c:pt idx="1">
                  <c:v>2699372.6869999999</c:v>
                </c:pt>
                <c:pt idx="2">
                  <c:v>2705346.6069999998</c:v>
                </c:pt>
                <c:pt idx="3">
                  <c:v>2705928.6880000001</c:v>
                </c:pt>
                <c:pt idx="4">
                  <c:v>2698775.97</c:v>
                </c:pt>
                <c:pt idx="5">
                  <c:v>2683572.344</c:v>
                </c:pt>
                <c:pt idx="6">
                  <c:v>2666483.5499999998</c:v>
                </c:pt>
                <c:pt idx="7">
                  <c:v>2642637.2650000001</c:v>
                </c:pt>
                <c:pt idx="8">
                  <c:v>2614140.1519999998</c:v>
                </c:pt>
                <c:pt idx="9">
                  <c:v>2577000.4530000002</c:v>
                </c:pt>
                <c:pt idx="10">
                  <c:v>2533934.9509999999</c:v>
                </c:pt>
                <c:pt idx="11">
                  <c:v>2486499.7059999998</c:v>
                </c:pt>
                <c:pt idx="12">
                  <c:v>2432349.7880000002</c:v>
                </c:pt>
                <c:pt idx="13">
                  <c:v>2368750.6120000002</c:v>
                </c:pt>
                <c:pt idx="14">
                  <c:v>2296721.4939999999</c:v>
                </c:pt>
                <c:pt idx="15">
                  <c:v>2217805.6140000001</c:v>
                </c:pt>
                <c:pt idx="16">
                  <c:v>2129415.59</c:v>
                </c:pt>
                <c:pt idx="17">
                  <c:v>2035100.156</c:v>
                </c:pt>
                <c:pt idx="18">
                  <c:v>1935751.5419999999</c:v>
                </c:pt>
                <c:pt idx="19">
                  <c:v>1824689.1540000001</c:v>
                </c:pt>
                <c:pt idx="20">
                  <c:v>1704586.6029999999</c:v>
                </c:pt>
                <c:pt idx="21">
                  <c:v>1575029.915</c:v>
                </c:pt>
                <c:pt idx="22">
                  <c:v>1434329.692</c:v>
                </c:pt>
                <c:pt idx="23">
                  <c:v>1285315.111</c:v>
                </c:pt>
                <c:pt idx="24">
                  <c:v>1124391.1880000001</c:v>
                </c:pt>
                <c:pt idx="25">
                  <c:v>955271.66330000001</c:v>
                </c:pt>
                <c:pt idx="26">
                  <c:v>775910.08089999994</c:v>
                </c:pt>
                <c:pt idx="27">
                  <c:v>591041.09739999997</c:v>
                </c:pt>
                <c:pt idx="28">
                  <c:v>399654.09519999998</c:v>
                </c:pt>
                <c:pt idx="29">
                  <c:v>202461.11809999999</c:v>
                </c:pt>
              </c:numCache>
            </c:numRef>
          </c:val>
          <c:smooth val="0"/>
        </c:ser>
        <c:dLbls>
          <c:showLegendKey val="0"/>
          <c:showVal val="0"/>
          <c:showCatName val="0"/>
          <c:showSerName val="0"/>
          <c:showPercent val="0"/>
          <c:showBubbleSize val="0"/>
        </c:dLbls>
        <c:marker val="1"/>
        <c:smooth val="0"/>
        <c:axId val="188119296"/>
        <c:axId val="233836928"/>
      </c:lineChart>
      <c:catAx>
        <c:axId val="188119296"/>
        <c:scaling>
          <c:orientation val="minMax"/>
        </c:scaling>
        <c:delete val="0"/>
        <c:axPos val="b"/>
        <c:majorTickMark val="out"/>
        <c:minorTickMark val="none"/>
        <c:tickLblPos val="nextTo"/>
        <c:crossAx val="233836928"/>
        <c:crosses val="autoZero"/>
        <c:auto val="1"/>
        <c:lblAlgn val="ctr"/>
        <c:lblOffset val="100"/>
        <c:noMultiLvlLbl val="0"/>
      </c:catAx>
      <c:valAx>
        <c:axId val="233836928"/>
        <c:scaling>
          <c:orientation val="minMax"/>
        </c:scaling>
        <c:delete val="0"/>
        <c:axPos val="l"/>
        <c:majorGridlines/>
        <c:numFmt formatCode="_(&quot;$&quot;* #,##0_);_(&quot;$&quot;* \(#,##0\);_(&quot;$&quot;* &quot;-&quot;??_);_(@_)" sourceLinked="1"/>
        <c:majorTickMark val="out"/>
        <c:minorTickMark val="none"/>
        <c:tickLblPos val="nextTo"/>
        <c:crossAx val="188119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Spring</a:t>
            </a:r>
            <a:r>
              <a:rPr lang="en-US" baseline="0"/>
              <a:t> Wheat</a:t>
            </a:r>
            <a:endParaRPr lang="en-US"/>
          </a:p>
        </c:rich>
      </c:tx>
      <c:layout/>
      <c:overlay val="0"/>
    </c:title>
    <c:autoTitleDeleted val="0"/>
    <c:plotArea>
      <c:layout>
        <c:manualLayout>
          <c:layoutTarget val="inner"/>
          <c:xMode val="edge"/>
          <c:yMode val="edge"/>
          <c:x val="9.1521862087110897E-2"/>
          <c:y val="9.0940033398418191E-2"/>
          <c:w val="0.69404170996452352"/>
          <c:h val="0.84225557117993255"/>
        </c:manualLayout>
      </c:layout>
      <c:lineChart>
        <c:grouping val="standard"/>
        <c:varyColors val="0"/>
        <c:ser>
          <c:idx val="0"/>
          <c:order val="0"/>
          <c:tx>
            <c:v>No Change (B73-AE73)</c:v>
          </c:tx>
          <c:marker>
            <c:symbol val="none"/>
          </c:marker>
          <c:val>
            <c:numRef>
              <c:f>Model!$B$73:$AE$73</c:f>
              <c:numCache>
                <c:formatCode>_("$"* #,##0_);_("$"* \(#,##0\);_("$"* "-"??_);_(@_)</c:formatCode>
                <c:ptCount val="30"/>
                <c:pt idx="0">
                  <c:v>3804208.32</c:v>
                </c:pt>
                <c:pt idx="1">
                  <c:v>3723158.7179999999</c:v>
                </c:pt>
                <c:pt idx="2">
                  <c:v>3640749.233</c:v>
                </c:pt>
                <c:pt idx="3">
                  <c:v>3555227.111</c:v>
                </c:pt>
                <c:pt idx="4">
                  <c:v>3467549.952</c:v>
                </c:pt>
                <c:pt idx="5">
                  <c:v>3378698.8190000001</c:v>
                </c:pt>
                <c:pt idx="6">
                  <c:v>3285903.824</c:v>
                </c:pt>
                <c:pt idx="7">
                  <c:v>3191064.6510000001</c:v>
                </c:pt>
                <c:pt idx="8">
                  <c:v>3091829.608</c:v>
                </c:pt>
                <c:pt idx="9">
                  <c:v>2990363.1140000001</c:v>
                </c:pt>
                <c:pt idx="10">
                  <c:v>2885867.9569999999</c:v>
                </c:pt>
                <c:pt idx="11">
                  <c:v>2778825.952</c:v>
                </c:pt>
                <c:pt idx="12">
                  <c:v>2667911.8029999998</c:v>
                </c:pt>
                <c:pt idx="13">
                  <c:v>2554277.9909999999</c:v>
                </c:pt>
                <c:pt idx="14">
                  <c:v>2437940.193</c:v>
                </c:pt>
                <c:pt idx="15">
                  <c:v>2317084.4610000001</c:v>
                </c:pt>
                <c:pt idx="16">
                  <c:v>2191711.6630000002</c:v>
                </c:pt>
                <c:pt idx="17">
                  <c:v>2063791.084</c:v>
                </c:pt>
                <c:pt idx="18">
                  <c:v>1931621.0959999999</c:v>
                </c:pt>
                <c:pt idx="19">
                  <c:v>1795027.57</c:v>
                </c:pt>
                <c:pt idx="20">
                  <c:v>1654413.2960000001</c:v>
                </c:pt>
                <c:pt idx="21">
                  <c:v>1511102.6610000001</c:v>
                </c:pt>
                <c:pt idx="22">
                  <c:v>1361462.1669999999</c:v>
                </c:pt>
                <c:pt idx="23">
                  <c:v>1207046.2649999999</c:v>
                </c:pt>
                <c:pt idx="24">
                  <c:v>1049398.6070000001</c:v>
                </c:pt>
                <c:pt idx="25">
                  <c:v>887722.21609999996</c:v>
                </c:pt>
                <c:pt idx="26">
                  <c:v>722250.98309999995</c:v>
                </c:pt>
                <c:pt idx="27">
                  <c:v>550287.13450000004</c:v>
                </c:pt>
                <c:pt idx="28">
                  <c:v>371883.51740000001</c:v>
                </c:pt>
                <c:pt idx="29">
                  <c:v>188596.541</c:v>
                </c:pt>
              </c:numCache>
            </c:numRef>
          </c:val>
          <c:smooth val="0"/>
        </c:ser>
        <c:ser>
          <c:idx val="1"/>
          <c:order val="1"/>
          <c:tx>
            <c:v>Slow Change (B76-AE76)</c:v>
          </c:tx>
          <c:marker>
            <c:symbol val="none"/>
          </c:marker>
          <c:val>
            <c:numRef>
              <c:f>Model!$B$76:$AE$76</c:f>
              <c:numCache>
                <c:formatCode>_("$"* #,##0_);_("$"* \(#,##0\);_("$"* "-"??_);_(@_)</c:formatCode>
                <c:ptCount val="30"/>
                <c:pt idx="0">
                  <c:v>3716266.0290000001</c:v>
                </c:pt>
                <c:pt idx="1">
                  <c:v>3629577.9619999998</c:v>
                </c:pt>
                <c:pt idx="2">
                  <c:v>3541544.8689999999</c:v>
                </c:pt>
                <c:pt idx="3">
                  <c:v>3450367.4019999998</c:v>
                </c:pt>
                <c:pt idx="4">
                  <c:v>3357660.14</c:v>
                </c:pt>
                <c:pt idx="5">
                  <c:v>3263523.7239999999</c:v>
                </c:pt>
                <c:pt idx="6">
                  <c:v>3166352.8110000002</c:v>
                </c:pt>
                <c:pt idx="7">
                  <c:v>3067930.6</c:v>
                </c:pt>
                <c:pt idx="8">
                  <c:v>2966223.679</c:v>
                </c:pt>
                <c:pt idx="9">
                  <c:v>2862042.554</c:v>
                </c:pt>
                <c:pt idx="10">
                  <c:v>2755886.2779999999</c:v>
                </c:pt>
                <c:pt idx="11">
                  <c:v>2647678.9679999999</c:v>
                </c:pt>
                <c:pt idx="12">
                  <c:v>2537176.801</c:v>
                </c:pt>
                <c:pt idx="13">
                  <c:v>2423318.8939999999</c:v>
                </c:pt>
                <c:pt idx="14">
                  <c:v>2307866.179</c:v>
                </c:pt>
                <c:pt idx="15">
                  <c:v>2190455.5430000001</c:v>
                </c:pt>
                <c:pt idx="16">
                  <c:v>2067664.642</c:v>
                </c:pt>
                <c:pt idx="17">
                  <c:v>1943025.8959999999</c:v>
                </c:pt>
                <c:pt idx="18">
                  <c:v>1817247.0090000001</c:v>
                </c:pt>
                <c:pt idx="19">
                  <c:v>1685128.915</c:v>
                </c:pt>
                <c:pt idx="20">
                  <c:v>1550242.058</c:v>
                </c:pt>
                <c:pt idx="21">
                  <c:v>1413101.7120000001</c:v>
                </c:pt>
                <c:pt idx="22">
                  <c:v>1270165.6440000001</c:v>
                </c:pt>
                <c:pt idx="23">
                  <c:v>1125240.2560000001</c:v>
                </c:pt>
                <c:pt idx="24">
                  <c:v>978805.35109999997</c:v>
                </c:pt>
                <c:pt idx="25">
                  <c:v>828343.12840000005</c:v>
                </c:pt>
                <c:pt idx="26">
                  <c:v>674792.64520000003</c:v>
                </c:pt>
                <c:pt idx="27">
                  <c:v>514523.78490000003</c:v>
                </c:pt>
                <c:pt idx="28">
                  <c:v>346560.56280000001</c:v>
                </c:pt>
                <c:pt idx="29">
                  <c:v>176768.35060000001</c:v>
                </c:pt>
              </c:numCache>
            </c:numRef>
          </c:val>
          <c:smooth val="0"/>
        </c:ser>
        <c:ser>
          <c:idx val="2"/>
          <c:order val="2"/>
          <c:tx>
            <c:v>Fast Change(B79-AE79)</c:v>
          </c:tx>
          <c:marker>
            <c:symbol val="none"/>
          </c:marker>
          <c:val>
            <c:numRef>
              <c:f>Model!$B$79:$AE$79</c:f>
              <c:numCache>
                <c:formatCode>_("$"* #,##0_);_("$"* \(#,##0\);_("$"* "-"??_);_(@_)</c:formatCode>
                <c:ptCount val="30"/>
                <c:pt idx="0">
                  <c:v>3668343.48</c:v>
                </c:pt>
                <c:pt idx="1">
                  <c:v>3580217.7370000002</c:v>
                </c:pt>
                <c:pt idx="2">
                  <c:v>3491475.67</c:v>
                </c:pt>
                <c:pt idx="3">
                  <c:v>3399028.6540000001</c:v>
                </c:pt>
                <c:pt idx="4">
                  <c:v>3305961.307</c:v>
                </c:pt>
                <c:pt idx="5">
                  <c:v>3212506.51</c:v>
                </c:pt>
                <c:pt idx="6">
                  <c:v>3115963.5359999998</c:v>
                </c:pt>
                <c:pt idx="7">
                  <c:v>3018779.31</c:v>
                </c:pt>
                <c:pt idx="8">
                  <c:v>2917975.0189999999</c:v>
                </c:pt>
                <c:pt idx="9">
                  <c:v>2815956.3679999998</c:v>
                </c:pt>
                <c:pt idx="10">
                  <c:v>2712010.1669999999</c:v>
                </c:pt>
                <c:pt idx="11">
                  <c:v>2605504.75</c:v>
                </c:pt>
                <c:pt idx="12">
                  <c:v>2498158.1129999999</c:v>
                </c:pt>
                <c:pt idx="13">
                  <c:v>2387555.59</c:v>
                </c:pt>
                <c:pt idx="14">
                  <c:v>2276087.7039999999</c:v>
                </c:pt>
                <c:pt idx="15">
                  <c:v>2162046.5159999998</c:v>
                </c:pt>
                <c:pt idx="16">
                  <c:v>2044019.507</c:v>
                </c:pt>
                <c:pt idx="17">
                  <c:v>1926966.348</c:v>
                </c:pt>
                <c:pt idx="18">
                  <c:v>1805284.0560000001</c:v>
                </c:pt>
                <c:pt idx="19">
                  <c:v>1676880.966</c:v>
                </c:pt>
                <c:pt idx="20">
                  <c:v>1544970.0330000001</c:v>
                </c:pt>
                <c:pt idx="21">
                  <c:v>1409818.2039999999</c:v>
                </c:pt>
                <c:pt idx="22">
                  <c:v>1269063.4339999999</c:v>
                </c:pt>
                <c:pt idx="23">
                  <c:v>1125304.2</c:v>
                </c:pt>
                <c:pt idx="24">
                  <c:v>979247.35730000003</c:v>
                </c:pt>
                <c:pt idx="25">
                  <c:v>828343.12840000005</c:v>
                </c:pt>
                <c:pt idx="26">
                  <c:v>674792.64520000003</c:v>
                </c:pt>
                <c:pt idx="27">
                  <c:v>514523.78490000003</c:v>
                </c:pt>
                <c:pt idx="28">
                  <c:v>346560.56280000001</c:v>
                </c:pt>
                <c:pt idx="29">
                  <c:v>176768.35060000001</c:v>
                </c:pt>
              </c:numCache>
            </c:numRef>
          </c:val>
          <c:smooth val="0"/>
        </c:ser>
        <c:dLbls>
          <c:showLegendKey val="0"/>
          <c:showVal val="0"/>
          <c:showCatName val="0"/>
          <c:showSerName val="0"/>
          <c:showPercent val="0"/>
          <c:showBubbleSize val="0"/>
        </c:dLbls>
        <c:marker val="1"/>
        <c:smooth val="0"/>
        <c:axId val="240701824"/>
        <c:axId val="240703360"/>
      </c:lineChart>
      <c:catAx>
        <c:axId val="240701824"/>
        <c:scaling>
          <c:orientation val="minMax"/>
        </c:scaling>
        <c:delete val="0"/>
        <c:axPos val="b"/>
        <c:majorTickMark val="out"/>
        <c:minorTickMark val="none"/>
        <c:tickLblPos val="nextTo"/>
        <c:crossAx val="240703360"/>
        <c:crosses val="autoZero"/>
        <c:auto val="1"/>
        <c:lblAlgn val="ctr"/>
        <c:lblOffset val="100"/>
        <c:noMultiLvlLbl val="0"/>
      </c:catAx>
      <c:valAx>
        <c:axId val="240703360"/>
        <c:scaling>
          <c:orientation val="minMax"/>
        </c:scaling>
        <c:delete val="0"/>
        <c:axPos val="l"/>
        <c:majorGridlines/>
        <c:numFmt formatCode="_(&quot;$&quot;* #,##0_);_(&quot;$&quot;* \(#,##0\);_(&quot;$&quot;* &quot;-&quot;??_);_(@_)" sourceLinked="1"/>
        <c:majorTickMark val="out"/>
        <c:minorTickMark val="none"/>
        <c:tickLblPos val="nextTo"/>
        <c:crossAx val="2407018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Net</a:t>
            </a:r>
            <a:r>
              <a:rPr lang="en-US" baseline="0"/>
              <a:t> WW No ins vs SW</a:t>
            </a:r>
            <a:endParaRPr lang="en-US"/>
          </a:p>
        </c:rich>
      </c:tx>
      <c:layout/>
      <c:overlay val="0"/>
    </c:title>
    <c:autoTitleDeleted val="0"/>
    <c:plotArea>
      <c:layout>
        <c:manualLayout>
          <c:layoutTarget val="inner"/>
          <c:xMode val="edge"/>
          <c:yMode val="edge"/>
          <c:x val="9.1521862087110897E-2"/>
          <c:y val="9.0940033398418191E-2"/>
          <c:w val="0.69404170996452352"/>
          <c:h val="0.84225557117993255"/>
        </c:manualLayout>
      </c:layout>
      <c:lineChart>
        <c:grouping val="standard"/>
        <c:varyColors val="0"/>
        <c:ser>
          <c:idx val="0"/>
          <c:order val="0"/>
          <c:tx>
            <c:v>WW NO INS Fast</c:v>
          </c:tx>
          <c:marker>
            <c:symbol val="none"/>
          </c:marker>
          <c:val>
            <c:numRef>
              <c:f>Model!$B$35:$AE$35</c:f>
              <c:numCache>
                <c:formatCode>_("$"* #,##0_);_("$"* \(#,##0\);_("$"* "-"??_);_(@_)</c:formatCode>
                <c:ptCount val="30"/>
                <c:pt idx="0">
                  <c:v>69953.712580000007</c:v>
                </c:pt>
                <c:pt idx="1">
                  <c:v>75007.261280000006</c:v>
                </c:pt>
                <c:pt idx="2">
                  <c:v>80578.317429999996</c:v>
                </c:pt>
                <c:pt idx="3">
                  <c:v>88330.578049999996</c:v>
                </c:pt>
                <c:pt idx="4">
                  <c:v>96166.905369999993</c:v>
                </c:pt>
                <c:pt idx="5">
                  <c:v>97595.964099999997</c:v>
                </c:pt>
                <c:pt idx="6">
                  <c:v>103840.7914</c:v>
                </c:pt>
                <c:pt idx="7">
                  <c:v>107776.231</c:v>
                </c:pt>
                <c:pt idx="8">
                  <c:v>115563.9038</c:v>
                </c:pt>
                <c:pt idx="9">
                  <c:v>120375.5153</c:v>
                </c:pt>
                <c:pt idx="10">
                  <c:v>123453.29369999999</c:v>
                </c:pt>
                <c:pt idx="11">
                  <c:v>128744.9093</c:v>
                </c:pt>
                <c:pt idx="12">
                  <c:v>136569.6691</c:v>
                </c:pt>
                <c:pt idx="13">
                  <c:v>143091.6366</c:v>
                </c:pt>
                <c:pt idx="14">
                  <c:v>147817.52480000001</c:v>
                </c:pt>
                <c:pt idx="15">
                  <c:v>154924.1924</c:v>
                </c:pt>
                <c:pt idx="16">
                  <c:v>158197.902</c:v>
                </c:pt>
                <c:pt idx="17">
                  <c:v>160401.6189</c:v>
                </c:pt>
                <c:pt idx="18">
                  <c:v>169134.93359999999</c:v>
                </c:pt>
                <c:pt idx="19">
                  <c:v>174843.22659999999</c:v>
                </c:pt>
                <c:pt idx="20">
                  <c:v>180694.2856</c:v>
                </c:pt>
                <c:pt idx="21">
                  <c:v>187951.1207</c:v>
                </c:pt>
                <c:pt idx="22">
                  <c:v>192044.47169999999</c:v>
                </c:pt>
                <c:pt idx="23">
                  <c:v>199483.37640000001</c:v>
                </c:pt>
                <c:pt idx="24">
                  <c:v>202851.26010000001</c:v>
                </c:pt>
                <c:pt idx="25">
                  <c:v>208019.7322</c:v>
                </c:pt>
                <c:pt idx="26">
                  <c:v>208146.28599999999</c:v>
                </c:pt>
                <c:pt idx="27">
                  <c:v>209118.23509999999</c:v>
                </c:pt>
                <c:pt idx="28">
                  <c:v>209182.6</c:v>
                </c:pt>
                <c:pt idx="29">
                  <c:v>208534.9516</c:v>
                </c:pt>
              </c:numCache>
            </c:numRef>
          </c:val>
          <c:smooth val="0"/>
        </c:ser>
        <c:ser>
          <c:idx val="1"/>
          <c:order val="1"/>
          <c:tx>
            <c:v>WW NO INS SLOW</c:v>
          </c:tx>
          <c:marker>
            <c:symbol val="none"/>
          </c:marker>
          <c:val>
            <c:numRef>
              <c:f>Model!$B$32:$AE$32</c:f>
              <c:numCache>
                <c:formatCode>_("$"* #,##0_);_("$"* \(#,##0\);_("$"* "-"??_);_(@_)</c:formatCode>
                <c:ptCount val="30"/>
                <c:pt idx="0">
                  <c:v>69953.712580000007</c:v>
                </c:pt>
                <c:pt idx="1">
                  <c:v>76561.925650000005</c:v>
                </c:pt>
                <c:pt idx="2">
                  <c:v>84527.170740000001</c:v>
                </c:pt>
                <c:pt idx="3">
                  <c:v>94690.930479999995</c:v>
                </c:pt>
                <c:pt idx="4">
                  <c:v>104130.9813</c:v>
                </c:pt>
                <c:pt idx="5">
                  <c:v>107631.4281</c:v>
                </c:pt>
                <c:pt idx="6">
                  <c:v>115260.96090000001</c:v>
                </c:pt>
                <c:pt idx="7">
                  <c:v>120577.45789999999</c:v>
                </c:pt>
                <c:pt idx="8">
                  <c:v>130677.4618</c:v>
                </c:pt>
                <c:pt idx="9">
                  <c:v>139261.90090000001</c:v>
                </c:pt>
                <c:pt idx="10">
                  <c:v>143769.35310000001</c:v>
                </c:pt>
                <c:pt idx="11">
                  <c:v>152429.33809999999</c:v>
                </c:pt>
                <c:pt idx="12">
                  <c:v>160411.6539</c:v>
                </c:pt>
                <c:pt idx="13">
                  <c:v>167487.10190000001</c:v>
                </c:pt>
                <c:pt idx="14">
                  <c:v>172930.74710000001</c:v>
                </c:pt>
                <c:pt idx="15">
                  <c:v>184820.17199999999</c:v>
                </c:pt>
                <c:pt idx="16">
                  <c:v>191338.20420000001</c:v>
                </c:pt>
                <c:pt idx="17">
                  <c:v>195706.2341</c:v>
                </c:pt>
                <c:pt idx="18">
                  <c:v>204306.09109999999</c:v>
                </c:pt>
                <c:pt idx="19">
                  <c:v>208682.86069999999</c:v>
                </c:pt>
                <c:pt idx="20">
                  <c:v>208051.0533</c:v>
                </c:pt>
                <c:pt idx="21">
                  <c:v>208951.2764</c:v>
                </c:pt>
                <c:pt idx="22">
                  <c:v>208205.36929999999</c:v>
                </c:pt>
                <c:pt idx="23">
                  <c:v>210911.67869999999</c:v>
                </c:pt>
                <c:pt idx="24">
                  <c:v>207556.7654</c:v>
                </c:pt>
                <c:pt idx="25">
                  <c:v>208019.7322</c:v>
                </c:pt>
                <c:pt idx="26">
                  <c:v>208146.28599999999</c:v>
                </c:pt>
                <c:pt idx="27">
                  <c:v>209118.23509999999</c:v>
                </c:pt>
                <c:pt idx="28">
                  <c:v>209182.6</c:v>
                </c:pt>
                <c:pt idx="29">
                  <c:v>208534.9516</c:v>
                </c:pt>
              </c:numCache>
            </c:numRef>
          </c:val>
          <c:smooth val="0"/>
        </c:ser>
        <c:ser>
          <c:idx val="2"/>
          <c:order val="2"/>
          <c:tx>
            <c:v>SW</c:v>
          </c:tx>
          <c:marker>
            <c:symbol val="none"/>
          </c:marker>
          <c:val>
            <c:numRef>
              <c:f>Model!$B$72:$AE$72</c:f>
              <c:numCache>
                <c:formatCode>_("$"* #,##0_);_("$"* \(#,##0\);_("$"* "-"??_);_(@_)</c:formatCode>
                <c:ptCount val="30"/>
                <c:pt idx="0">
                  <c:v>195175.8512</c:v>
                </c:pt>
                <c:pt idx="1">
                  <c:v>194104.2464</c:v>
                </c:pt>
                <c:pt idx="2">
                  <c:v>194744.59899999999</c:v>
                </c:pt>
                <c:pt idx="3">
                  <c:v>194333.973</c:v>
                </c:pt>
                <c:pt idx="4">
                  <c:v>192877.63130000001</c:v>
                </c:pt>
                <c:pt idx="5">
                  <c:v>194155.95910000001</c:v>
                </c:pt>
                <c:pt idx="6">
                  <c:v>193416.2885</c:v>
                </c:pt>
                <c:pt idx="7">
                  <c:v>194966.98199999999</c:v>
                </c:pt>
                <c:pt idx="8">
                  <c:v>194221.3824</c:v>
                </c:pt>
                <c:pt idx="9">
                  <c:v>194206.0508</c:v>
                </c:pt>
                <c:pt idx="10">
                  <c:v>193618.04310000001</c:v>
                </c:pt>
                <c:pt idx="11">
                  <c:v>194278.92739999999</c:v>
                </c:pt>
                <c:pt idx="12">
                  <c:v>193671.1667</c:v>
                </c:pt>
                <c:pt idx="13">
                  <c:v>192966.13800000001</c:v>
                </c:pt>
                <c:pt idx="14">
                  <c:v>193993.93780000001</c:v>
                </c:pt>
                <c:pt idx="15">
                  <c:v>194885.3316</c:v>
                </c:pt>
                <c:pt idx="16">
                  <c:v>193671.92860000001</c:v>
                </c:pt>
                <c:pt idx="17">
                  <c:v>194083.72029999999</c:v>
                </c:pt>
                <c:pt idx="18">
                  <c:v>194542.1588</c:v>
                </c:pt>
                <c:pt idx="19">
                  <c:v>194465.10140000001</c:v>
                </c:pt>
                <c:pt idx="20">
                  <c:v>192943.03450000001</c:v>
                </c:pt>
                <c:pt idx="21">
                  <c:v>194973.57310000001</c:v>
                </c:pt>
                <c:pt idx="22">
                  <c:v>195259.7678</c:v>
                </c:pt>
                <c:pt idx="23">
                  <c:v>193859.04560000001</c:v>
                </c:pt>
                <c:pt idx="24">
                  <c:v>193158.34899999999</c:v>
                </c:pt>
                <c:pt idx="25">
                  <c:v>192102.8995</c:v>
                </c:pt>
                <c:pt idx="26">
                  <c:v>193631.3781</c:v>
                </c:pt>
                <c:pt idx="27">
                  <c:v>194912.2311</c:v>
                </c:pt>
                <c:pt idx="28">
                  <c:v>194443.48190000001</c:v>
                </c:pt>
                <c:pt idx="29">
                  <c:v>194254.43729999999</c:v>
                </c:pt>
              </c:numCache>
            </c:numRef>
          </c:val>
          <c:smooth val="0"/>
        </c:ser>
        <c:dLbls>
          <c:showLegendKey val="0"/>
          <c:showVal val="0"/>
          <c:showCatName val="0"/>
          <c:showSerName val="0"/>
          <c:showPercent val="0"/>
          <c:showBubbleSize val="0"/>
        </c:dLbls>
        <c:marker val="1"/>
        <c:smooth val="0"/>
        <c:axId val="243608192"/>
        <c:axId val="243761536"/>
      </c:lineChart>
      <c:catAx>
        <c:axId val="243608192"/>
        <c:scaling>
          <c:orientation val="minMax"/>
        </c:scaling>
        <c:delete val="0"/>
        <c:axPos val="b"/>
        <c:majorTickMark val="out"/>
        <c:minorTickMark val="none"/>
        <c:tickLblPos val="nextTo"/>
        <c:crossAx val="243761536"/>
        <c:crosses val="autoZero"/>
        <c:auto val="1"/>
        <c:lblAlgn val="ctr"/>
        <c:lblOffset val="100"/>
        <c:noMultiLvlLbl val="0"/>
      </c:catAx>
      <c:valAx>
        <c:axId val="243761536"/>
        <c:scaling>
          <c:orientation val="minMax"/>
        </c:scaling>
        <c:delete val="0"/>
        <c:axPos val="l"/>
        <c:majorGridlines/>
        <c:numFmt formatCode="_(&quot;$&quot;* #,##0_);_(&quot;$&quot;* \(#,##0\);_(&quot;$&quot;* &quot;-&quot;??_);_(@_)" sourceLinked="1"/>
        <c:majorTickMark val="out"/>
        <c:minorTickMark val="none"/>
        <c:tickLblPos val="nextTo"/>
        <c:crossAx val="243608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Net</a:t>
            </a:r>
            <a:r>
              <a:rPr lang="en-US" baseline="0"/>
              <a:t> WW EMG Ins vs SW</a:t>
            </a:r>
            <a:endParaRPr lang="en-US"/>
          </a:p>
        </c:rich>
      </c:tx>
      <c:layout/>
      <c:overlay val="0"/>
    </c:title>
    <c:autoTitleDeleted val="0"/>
    <c:plotArea>
      <c:layout>
        <c:manualLayout>
          <c:layoutTarget val="inner"/>
          <c:xMode val="edge"/>
          <c:yMode val="edge"/>
          <c:x val="9.1521862087110897E-2"/>
          <c:y val="9.0940033398418191E-2"/>
          <c:w val="0.69404170996452352"/>
          <c:h val="0.84225557117993255"/>
        </c:manualLayout>
      </c:layout>
      <c:lineChart>
        <c:grouping val="standard"/>
        <c:varyColors val="0"/>
        <c:ser>
          <c:idx val="0"/>
          <c:order val="0"/>
          <c:tx>
            <c:v>WW Emg Fast</c:v>
          </c:tx>
          <c:marker>
            <c:symbol val="none"/>
          </c:marker>
          <c:val>
            <c:numRef>
              <c:f>Model!$B$64:$AE$64</c:f>
              <c:numCache>
                <c:formatCode>_("$"* #,##0_);_("$"* \(#,##0\);_("$"* "-"??_);_(@_)</c:formatCode>
                <c:ptCount val="30"/>
                <c:pt idx="0">
                  <c:v>69953.712580000007</c:v>
                </c:pt>
                <c:pt idx="1">
                  <c:v>75007.261280000006</c:v>
                </c:pt>
                <c:pt idx="2">
                  <c:v>80578.317429999996</c:v>
                </c:pt>
                <c:pt idx="3">
                  <c:v>88330.578049999996</c:v>
                </c:pt>
                <c:pt idx="4">
                  <c:v>96166.905369999993</c:v>
                </c:pt>
                <c:pt idx="5">
                  <c:v>97595.964099999997</c:v>
                </c:pt>
                <c:pt idx="6">
                  <c:v>103840.7914</c:v>
                </c:pt>
                <c:pt idx="7">
                  <c:v>107776.231</c:v>
                </c:pt>
                <c:pt idx="8">
                  <c:v>115563.9038</c:v>
                </c:pt>
                <c:pt idx="9">
                  <c:v>120375.5153</c:v>
                </c:pt>
                <c:pt idx="10">
                  <c:v>123453.29369999999</c:v>
                </c:pt>
                <c:pt idx="11">
                  <c:v>128744.9093</c:v>
                </c:pt>
                <c:pt idx="12">
                  <c:v>136569.6691</c:v>
                </c:pt>
                <c:pt idx="13">
                  <c:v>143091.6366</c:v>
                </c:pt>
                <c:pt idx="14">
                  <c:v>147817.52480000001</c:v>
                </c:pt>
                <c:pt idx="15">
                  <c:v>154924.1924</c:v>
                </c:pt>
                <c:pt idx="16">
                  <c:v>158197.902</c:v>
                </c:pt>
                <c:pt idx="17">
                  <c:v>160401.6189</c:v>
                </c:pt>
                <c:pt idx="18">
                  <c:v>169134.93359999999</c:v>
                </c:pt>
                <c:pt idx="19">
                  <c:v>174843.22659999999</c:v>
                </c:pt>
                <c:pt idx="20">
                  <c:v>226230.272</c:v>
                </c:pt>
                <c:pt idx="21">
                  <c:v>229281.42559999999</c:v>
                </c:pt>
                <c:pt idx="22">
                  <c:v>229563.58379999999</c:v>
                </c:pt>
                <c:pt idx="23">
                  <c:v>231378.5091</c:v>
                </c:pt>
                <c:pt idx="24">
                  <c:v>230770.3573</c:v>
                </c:pt>
                <c:pt idx="25">
                  <c:v>231906.93520000001</c:v>
                </c:pt>
                <c:pt idx="26">
                  <c:v>232260.9589</c:v>
                </c:pt>
                <c:pt idx="27">
                  <c:v>232913.79519999999</c:v>
                </c:pt>
                <c:pt idx="28">
                  <c:v>232735.85130000001</c:v>
                </c:pt>
                <c:pt idx="29">
                  <c:v>232753.86960000001</c:v>
                </c:pt>
              </c:numCache>
            </c:numRef>
          </c:val>
          <c:smooth val="0"/>
        </c:ser>
        <c:ser>
          <c:idx val="1"/>
          <c:order val="1"/>
          <c:tx>
            <c:v>WW EMG Slow</c:v>
          </c:tx>
          <c:marker>
            <c:symbol val="none"/>
          </c:marker>
          <c:val>
            <c:numRef>
              <c:f>Model!$B$61:$AE$61</c:f>
              <c:numCache>
                <c:formatCode>_("$"* #,##0_);_("$"* \(#,##0\);_("$"* "-"??_);_(@_)</c:formatCode>
                <c:ptCount val="30"/>
                <c:pt idx="0">
                  <c:v>236365.87008500006</c:v>
                </c:pt>
                <c:pt idx="1">
                  <c:v>236365.87008500006</c:v>
                </c:pt>
                <c:pt idx="2">
                  <c:v>236365.87008500006</c:v>
                </c:pt>
                <c:pt idx="3">
                  <c:v>236365.87008500006</c:v>
                </c:pt>
                <c:pt idx="4">
                  <c:v>236365.87008500006</c:v>
                </c:pt>
                <c:pt idx="5">
                  <c:v>236365.87008500006</c:v>
                </c:pt>
                <c:pt idx="6">
                  <c:v>236365.87008500006</c:v>
                </c:pt>
                <c:pt idx="7">
                  <c:v>236365.87008500006</c:v>
                </c:pt>
                <c:pt idx="8">
                  <c:v>236365.87008500006</c:v>
                </c:pt>
                <c:pt idx="9">
                  <c:v>236365.87008500006</c:v>
                </c:pt>
                <c:pt idx="10">
                  <c:v>236365.87008500006</c:v>
                </c:pt>
                <c:pt idx="11">
                  <c:v>236365.87008500006</c:v>
                </c:pt>
                <c:pt idx="12">
                  <c:v>236365.87008500006</c:v>
                </c:pt>
                <c:pt idx="13">
                  <c:v>236365.87008500006</c:v>
                </c:pt>
                <c:pt idx="14">
                  <c:v>236365.87008500006</c:v>
                </c:pt>
                <c:pt idx="15">
                  <c:v>236365.87008500006</c:v>
                </c:pt>
                <c:pt idx="16">
                  <c:v>236365.87008500006</c:v>
                </c:pt>
                <c:pt idx="17">
                  <c:v>236365.87008500006</c:v>
                </c:pt>
                <c:pt idx="18">
                  <c:v>236365.87008500006</c:v>
                </c:pt>
                <c:pt idx="19">
                  <c:v>236365.87008500006</c:v>
                </c:pt>
                <c:pt idx="20">
                  <c:v>236365.87008500006</c:v>
                </c:pt>
                <c:pt idx="21">
                  <c:v>236365.87008500006</c:v>
                </c:pt>
                <c:pt idx="22">
                  <c:v>236365.87008500006</c:v>
                </c:pt>
                <c:pt idx="23">
                  <c:v>236365.87008500006</c:v>
                </c:pt>
                <c:pt idx="24">
                  <c:v>236365.87008500006</c:v>
                </c:pt>
                <c:pt idx="25">
                  <c:v>236365.87008500006</c:v>
                </c:pt>
                <c:pt idx="26">
                  <c:v>236365.87008500006</c:v>
                </c:pt>
                <c:pt idx="27">
                  <c:v>236365.87008500006</c:v>
                </c:pt>
                <c:pt idx="28">
                  <c:v>236365.87008500006</c:v>
                </c:pt>
                <c:pt idx="29">
                  <c:v>236365.87008500006</c:v>
                </c:pt>
              </c:numCache>
            </c:numRef>
          </c:val>
          <c:smooth val="0"/>
        </c:ser>
        <c:ser>
          <c:idx val="2"/>
          <c:order val="2"/>
          <c:tx>
            <c:v>SW</c:v>
          </c:tx>
          <c:marker>
            <c:symbol val="none"/>
          </c:marker>
          <c:val>
            <c:numRef>
              <c:f>Model!$B$72:$AE$72</c:f>
              <c:numCache>
                <c:formatCode>_("$"* #,##0_);_("$"* \(#,##0\);_("$"* "-"??_);_(@_)</c:formatCode>
                <c:ptCount val="30"/>
                <c:pt idx="0">
                  <c:v>195175.8512</c:v>
                </c:pt>
                <c:pt idx="1">
                  <c:v>194104.2464</c:v>
                </c:pt>
                <c:pt idx="2">
                  <c:v>194744.59899999999</c:v>
                </c:pt>
                <c:pt idx="3">
                  <c:v>194333.973</c:v>
                </c:pt>
                <c:pt idx="4">
                  <c:v>192877.63130000001</c:v>
                </c:pt>
                <c:pt idx="5">
                  <c:v>194155.95910000001</c:v>
                </c:pt>
                <c:pt idx="6">
                  <c:v>193416.2885</c:v>
                </c:pt>
                <c:pt idx="7">
                  <c:v>194966.98199999999</c:v>
                </c:pt>
                <c:pt idx="8">
                  <c:v>194221.3824</c:v>
                </c:pt>
                <c:pt idx="9">
                  <c:v>194206.0508</c:v>
                </c:pt>
                <c:pt idx="10">
                  <c:v>193618.04310000001</c:v>
                </c:pt>
                <c:pt idx="11">
                  <c:v>194278.92739999999</c:v>
                </c:pt>
                <c:pt idx="12">
                  <c:v>193671.1667</c:v>
                </c:pt>
                <c:pt idx="13">
                  <c:v>192966.13800000001</c:v>
                </c:pt>
                <c:pt idx="14">
                  <c:v>193993.93780000001</c:v>
                </c:pt>
                <c:pt idx="15">
                  <c:v>194885.3316</c:v>
                </c:pt>
                <c:pt idx="16">
                  <c:v>193671.92860000001</c:v>
                </c:pt>
                <c:pt idx="17">
                  <c:v>194083.72029999999</c:v>
                </c:pt>
                <c:pt idx="18">
                  <c:v>194542.1588</c:v>
                </c:pt>
                <c:pt idx="19">
                  <c:v>194465.10140000001</c:v>
                </c:pt>
                <c:pt idx="20">
                  <c:v>192943.03450000001</c:v>
                </c:pt>
                <c:pt idx="21">
                  <c:v>194973.57310000001</c:v>
                </c:pt>
                <c:pt idx="22">
                  <c:v>195259.7678</c:v>
                </c:pt>
                <c:pt idx="23">
                  <c:v>193859.04560000001</c:v>
                </c:pt>
                <c:pt idx="24">
                  <c:v>193158.34899999999</c:v>
                </c:pt>
                <c:pt idx="25">
                  <c:v>192102.8995</c:v>
                </c:pt>
                <c:pt idx="26">
                  <c:v>193631.3781</c:v>
                </c:pt>
                <c:pt idx="27">
                  <c:v>194912.2311</c:v>
                </c:pt>
                <c:pt idx="28">
                  <c:v>194443.48190000001</c:v>
                </c:pt>
                <c:pt idx="29">
                  <c:v>194254.43729999999</c:v>
                </c:pt>
              </c:numCache>
            </c:numRef>
          </c:val>
          <c:smooth val="0"/>
        </c:ser>
        <c:dLbls>
          <c:showLegendKey val="0"/>
          <c:showVal val="0"/>
          <c:showCatName val="0"/>
          <c:showSerName val="0"/>
          <c:showPercent val="0"/>
          <c:showBubbleSize val="0"/>
        </c:dLbls>
        <c:marker val="1"/>
        <c:smooth val="0"/>
        <c:axId val="245216000"/>
        <c:axId val="245217536"/>
      </c:lineChart>
      <c:catAx>
        <c:axId val="245216000"/>
        <c:scaling>
          <c:orientation val="minMax"/>
        </c:scaling>
        <c:delete val="0"/>
        <c:axPos val="b"/>
        <c:majorTickMark val="out"/>
        <c:minorTickMark val="none"/>
        <c:tickLblPos val="nextTo"/>
        <c:crossAx val="245217536"/>
        <c:crosses val="autoZero"/>
        <c:auto val="1"/>
        <c:lblAlgn val="ctr"/>
        <c:lblOffset val="100"/>
        <c:noMultiLvlLbl val="0"/>
      </c:catAx>
      <c:valAx>
        <c:axId val="245217536"/>
        <c:scaling>
          <c:orientation val="minMax"/>
        </c:scaling>
        <c:delete val="0"/>
        <c:axPos val="l"/>
        <c:majorGridlines/>
        <c:numFmt formatCode="_(&quot;$&quot;* #,##0_);_(&quot;$&quot;* \(#,##0\);_(&quot;$&quot;* &quot;-&quot;??_);_(@_)" sourceLinked="1"/>
        <c:majorTickMark val="out"/>
        <c:minorTickMark val="none"/>
        <c:tickLblPos val="nextTo"/>
        <c:crossAx val="2452160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5</xdr:row>
      <xdr:rowOff>0</xdr:rowOff>
    </xdr:from>
    <xdr:to>
      <xdr:col>14</xdr:col>
      <xdr:colOff>600075</xdr:colOff>
      <xdr:row>36</xdr:row>
      <xdr:rowOff>19050</xdr:rowOff>
    </xdr:to>
    <xdr:sp macro="" textlink="">
      <xdr:nvSpPr>
        <xdr:cNvPr id="4" name="TextBox 3"/>
        <xdr:cNvSpPr txBox="1"/>
      </xdr:nvSpPr>
      <xdr:spPr>
        <a:xfrm>
          <a:off x="1219200" y="952500"/>
          <a:ext cx="7915275" cy="5924550"/>
        </a:xfrm>
        <a:prstGeom prst="rect">
          <a:avLst/>
        </a:prstGeom>
        <a:solidFill>
          <a:sysClr val="window" lastClr="FFFFFF"/>
        </a:solidFill>
        <a:ln w="9525" cmpd="sng">
          <a:solidFill>
            <a:sysClr val="window" lastClr="FFFFFF">
              <a:shade val="50000"/>
            </a:sysClr>
          </a:solidFill>
        </a:ln>
        <a:effectLst>
          <a:innerShdw blurRad="63500" dist="50800" dir="5400000">
            <a:prstClr val="black">
              <a:alpha val="50000"/>
            </a:prstClr>
          </a:innerShdw>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Crop_switch_Time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This is the second tool in the "Crop Switch" model suite designed to simulate the switch from spring to winter wheat as the probabiltiy of winter kill declines with Northern Plains regional warming. The "Time" model allows calculation of outcomes for spring wheat and winter wheat over a 30-year scenario or "Representative Agricultural Pathway" (RAP). The scenario is used to compare net present values (NPV) of crop switching at different points in the simulation, with winter kill reduced slowly or quickly (e.g., slow or fast climate warming), and with the "emergence" of a insurance instrument at some point in the time series.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The user sets up the RAP by choosing:</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The starting probability of crop loss (in RiskSimTable_Input tab)</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The price differential for winter wheat insurance over spring wheat insurance</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total acres</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indemnity coverage (typically 70-75%)</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600" b="1" i="0" u="none" strike="noStrike" kern="0" cap="none" spc="0" normalizeH="0" baseline="0" noProof="0">
              <a:ln>
                <a:noFill/>
              </a:ln>
              <a:solidFill>
                <a:sysClr val="windowText" lastClr="000000"/>
              </a:solidFill>
              <a:effectLst/>
              <a:uLnTx/>
              <a:uFillTx/>
              <a:latin typeface="Calibri"/>
              <a:ea typeface="+mn-ea"/>
              <a:cs typeface="+mn-cs"/>
            </a:rPr>
            <a:t>The P of winter kill at which winter wheat insurance becomes avilable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The model was developed in the Palisades Corp. Decision Tools Suite, http://www.palisade.com/DecisionTools_Suite/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819149</xdr:colOff>
      <xdr:row>87</xdr:row>
      <xdr:rowOff>100011</xdr:rowOff>
    </xdr:from>
    <xdr:to>
      <xdr:col>18</xdr:col>
      <xdr:colOff>876300</xdr:colOff>
      <xdr:row>109</xdr:row>
      <xdr:rowOff>123824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115</xdr:row>
      <xdr:rowOff>0</xdr:rowOff>
    </xdr:from>
    <xdr:to>
      <xdr:col>12</xdr:col>
      <xdr:colOff>9526</xdr:colOff>
      <xdr:row>140</xdr:row>
      <xdr:rowOff>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690563</xdr:colOff>
      <xdr:row>114</xdr:row>
      <xdr:rowOff>95250</xdr:rowOff>
    </xdr:from>
    <xdr:to>
      <xdr:col>21</xdr:col>
      <xdr:colOff>47625</xdr:colOff>
      <xdr:row>143</xdr:row>
      <xdr:rowOff>154781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142</xdr:row>
      <xdr:rowOff>0</xdr:rowOff>
    </xdr:from>
    <xdr:to>
      <xdr:col>12</xdr:col>
      <xdr:colOff>9526</xdr:colOff>
      <xdr:row>167</xdr:row>
      <xdr:rowOff>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869156</xdr:colOff>
      <xdr:row>149</xdr:row>
      <xdr:rowOff>11906</xdr:rowOff>
    </xdr:from>
    <xdr:to>
      <xdr:col>20</xdr:col>
      <xdr:colOff>559594</xdr:colOff>
      <xdr:row>169</xdr:row>
      <xdr:rowOff>166687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23812</xdr:colOff>
      <xdr:row>173</xdr:row>
      <xdr:rowOff>95251</xdr:rowOff>
    </xdr:from>
    <xdr:to>
      <xdr:col>20</xdr:col>
      <xdr:colOff>583406</xdr:colOff>
      <xdr:row>195</xdr:row>
      <xdr:rowOff>11907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13</xdr:col>
      <xdr:colOff>421143</xdr:colOff>
      <xdr:row>26</xdr:row>
      <xdr:rowOff>114300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09600" y="762000"/>
          <a:ext cx="7736343" cy="4305300"/>
        </a:xfrm>
        <a:prstGeom prst="rect">
          <a:avLst/>
        </a:prstGeom>
      </xdr:spPr>
    </xdr:pic>
    <xdr:clientData/>
  </xdr:twoCellAnchor>
  <xdr:twoCellAnchor editAs="oneCell">
    <xdr:from>
      <xdr:col>1</xdr:col>
      <xdr:colOff>1</xdr:colOff>
      <xdr:row>55</xdr:row>
      <xdr:rowOff>0</xdr:rowOff>
    </xdr:from>
    <xdr:to>
      <xdr:col>12</xdr:col>
      <xdr:colOff>361951</xdr:colOff>
      <xdr:row>75</xdr:row>
      <xdr:rowOff>125912</xdr:rowOff>
    </xdr:to>
    <xdr:pic>
      <xdr:nvPicPr>
        <xdr:cNvPr id="8" name="Picture 7"/>
        <xdr:cNvPicPr>
          <a:picLocks noChangeAspect="1"/>
        </xdr:cNvPicPr>
      </xdr:nvPicPr>
      <xdr:blipFill>
        <a:blip xmlns:r="http://schemas.openxmlformats.org/officeDocument/2006/relationships" r:embed="rId2"/>
        <a:stretch>
          <a:fillRect/>
        </a:stretch>
      </xdr:blipFill>
      <xdr:spPr>
        <a:xfrm>
          <a:off x="609601" y="10477500"/>
          <a:ext cx="7067550" cy="3935912"/>
        </a:xfrm>
        <a:prstGeom prst="rect">
          <a:avLst/>
        </a:prstGeom>
      </xdr:spPr>
    </xdr:pic>
    <xdr:clientData/>
  </xdr:twoCellAnchor>
  <xdr:twoCellAnchor editAs="oneCell">
    <xdr:from>
      <xdr:col>1</xdr:col>
      <xdr:colOff>0</xdr:colOff>
      <xdr:row>80</xdr:row>
      <xdr:rowOff>0</xdr:rowOff>
    </xdr:from>
    <xdr:to>
      <xdr:col>13</xdr:col>
      <xdr:colOff>409575</xdr:colOff>
      <xdr:row>102</xdr:row>
      <xdr:rowOff>113352</xdr:rowOff>
    </xdr:to>
    <xdr:pic>
      <xdr:nvPicPr>
        <xdr:cNvPr id="9" name="Picture 8"/>
        <xdr:cNvPicPr>
          <a:picLocks noChangeAspect="1"/>
        </xdr:cNvPicPr>
      </xdr:nvPicPr>
      <xdr:blipFill>
        <a:blip xmlns:r="http://schemas.openxmlformats.org/officeDocument/2006/relationships" r:embed="rId3"/>
        <a:stretch>
          <a:fillRect/>
        </a:stretch>
      </xdr:blipFill>
      <xdr:spPr>
        <a:xfrm>
          <a:off x="609600" y="15240000"/>
          <a:ext cx="7724775" cy="4304352"/>
        </a:xfrm>
        <a:prstGeom prst="rect">
          <a:avLst/>
        </a:prstGeom>
      </xdr:spPr>
    </xdr:pic>
    <xdr:clientData/>
  </xdr:twoCellAnchor>
  <xdr:twoCellAnchor editAs="oneCell">
    <xdr:from>
      <xdr:col>1</xdr:col>
      <xdr:colOff>0</xdr:colOff>
      <xdr:row>28</xdr:row>
      <xdr:rowOff>142875</xdr:rowOff>
    </xdr:from>
    <xdr:to>
      <xdr:col>13</xdr:col>
      <xdr:colOff>409575</xdr:colOff>
      <xdr:row>51</xdr:row>
      <xdr:rowOff>51091</xdr:rowOff>
    </xdr:to>
    <xdr:pic>
      <xdr:nvPicPr>
        <xdr:cNvPr id="10" name="Picture 9"/>
        <xdr:cNvPicPr>
          <a:picLocks noChangeAspect="1"/>
        </xdr:cNvPicPr>
      </xdr:nvPicPr>
      <xdr:blipFill>
        <a:blip xmlns:r="http://schemas.openxmlformats.org/officeDocument/2006/relationships" r:embed="rId4"/>
        <a:stretch>
          <a:fillRect/>
        </a:stretch>
      </xdr:blipFill>
      <xdr:spPr>
        <a:xfrm>
          <a:off x="609600" y="5476875"/>
          <a:ext cx="7724775" cy="4289716"/>
        </a:xfrm>
        <a:prstGeom prst="rect">
          <a:avLst/>
        </a:prstGeom>
      </xdr:spPr>
    </xdr:pic>
    <xdr:clientData/>
  </xdr:twoCellAnchor>
  <xdr:twoCellAnchor editAs="oneCell">
    <xdr:from>
      <xdr:col>12</xdr:col>
      <xdr:colOff>504825</xdr:colOff>
      <xdr:row>55</xdr:row>
      <xdr:rowOff>19051</xdr:rowOff>
    </xdr:from>
    <xdr:to>
      <xdr:col>23</xdr:col>
      <xdr:colOff>585835</xdr:colOff>
      <xdr:row>75</xdr:row>
      <xdr:rowOff>126855</xdr:rowOff>
    </xdr:to>
    <xdr:pic>
      <xdr:nvPicPr>
        <xdr:cNvPr id="12" name="Picture 11"/>
        <xdr:cNvPicPr>
          <a:picLocks noChangeAspect="1"/>
        </xdr:cNvPicPr>
      </xdr:nvPicPr>
      <xdr:blipFill>
        <a:blip xmlns:r="http://schemas.openxmlformats.org/officeDocument/2006/relationships" r:embed="rId5"/>
        <a:stretch>
          <a:fillRect/>
        </a:stretch>
      </xdr:blipFill>
      <xdr:spPr>
        <a:xfrm>
          <a:off x="7820025" y="10496551"/>
          <a:ext cx="6786610" cy="3917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4"/>
  <sheetViews>
    <sheetView workbookViewId="0"/>
  </sheetViews>
  <sheetFormatPr defaultRowHeight="15" x14ac:dyDescent="0.25"/>
  <cols>
    <col min="1" max="26" width="18.7109375" customWidth="1"/>
  </cols>
  <sheetData>
    <row r="1" spans="1:98" x14ac:dyDescent="0.25">
      <c r="A1" t="s">
        <v>5</v>
      </c>
      <c r="B1" t="s">
        <v>12</v>
      </c>
      <c r="C1" t="s">
        <v>9</v>
      </c>
      <c r="D1" t="s">
        <v>10</v>
      </c>
      <c r="E1" t="s">
        <v>7</v>
      </c>
      <c r="F1" t="s">
        <v>8</v>
      </c>
      <c r="G1" t="s">
        <v>24</v>
      </c>
      <c r="H1" t="s">
        <v>15</v>
      </c>
      <c r="I1" t="s">
        <v>16</v>
      </c>
      <c r="J1" t="s">
        <v>17</v>
      </c>
      <c r="K1" t="s">
        <v>18</v>
      </c>
      <c r="L1" t="s">
        <v>13</v>
      </c>
      <c r="M1" t="s">
        <v>19</v>
      </c>
      <c r="N1" t="s">
        <v>21</v>
      </c>
      <c r="O1" t="s">
        <v>25</v>
      </c>
      <c r="P1" t="s">
        <v>27</v>
      </c>
      <c r="Q1" t="s">
        <v>26</v>
      </c>
      <c r="R1" t="s">
        <v>6</v>
      </c>
      <c r="S1" t="s">
        <v>11</v>
      </c>
      <c r="Y1" t="s">
        <v>20</v>
      </c>
      <c r="Z1" t="s">
        <v>22</v>
      </c>
      <c r="AA1" t="s">
        <v>14</v>
      </c>
      <c r="AB1" t="s">
        <v>23</v>
      </c>
    </row>
    <row r="2" spans="1:98" x14ac:dyDescent="0.25">
      <c r="E2" s="3" t="e">
        <f>#REF!</f>
        <v>#REF!</v>
      </c>
      <c r="S2">
        <v>353</v>
      </c>
    </row>
    <row r="3" spans="1:98" x14ac:dyDescent="0.25">
      <c r="A3" t="s">
        <v>3</v>
      </c>
      <c r="B3">
        <v>4</v>
      </c>
      <c r="C3" t="s">
        <v>4</v>
      </c>
    </row>
    <row r="4" spans="1:98" x14ac:dyDescent="0.25">
      <c r="A4" t="s">
        <v>5</v>
      </c>
      <c r="B4" t="s">
        <v>12</v>
      </c>
      <c r="C4" t="s">
        <v>9</v>
      </c>
      <c r="D4" t="s">
        <v>10</v>
      </c>
      <c r="E4" t="s">
        <v>7</v>
      </c>
      <c r="F4" t="s">
        <v>8</v>
      </c>
      <c r="G4" t="s">
        <v>24</v>
      </c>
      <c r="H4" t="s">
        <v>15</v>
      </c>
      <c r="I4" t="s">
        <v>16</v>
      </c>
      <c r="J4" t="s">
        <v>17</v>
      </c>
      <c r="K4" t="s">
        <v>18</v>
      </c>
      <c r="L4" t="s">
        <v>13</v>
      </c>
      <c r="M4" t="s">
        <v>19</v>
      </c>
      <c r="N4" t="s">
        <v>21</v>
      </c>
      <c r="O4" t="s">
        <v>25</v>
      </c>
      <c r="P4" t="s">
        <v>27</v>
      </c>
      <c r="Q4" t="s">
        <v>26</v>
      </c>
      <c r="R4" t="s">
        <v>6</v>
      </c>
      <c r="S4" t="s">
        <v>11</v>
      </c>
      <c r="Y4" t="s">
        <v>20</v>
      </c>
      <c r="Z4" t="s">
        <v>22</v>
      </c>
      <c r="AA4" t="s">
        <v>14</v>
      </c>
      <c r="AB4" t="s">
        <v>23</v>
      </c>
    </row>
    <row r="5" spans="1:98" x14ac:dyDescent="0.25">
      <c r="A5">
        <v>1</v>
      </c>
      <c r="B5" t="b">
        <v>0</v>
      </c>
      <c r="C5">
        <v>0</v>
      </c>
      <c r="D5" t="s">
        <v>88</v>
      </c>
      <c r="E5" s="5" t="e">
        <f>#REF!</f>
        <v>#REF!</v>
      </c>
      <c r="F5" t="s">
        <v>105</v>
      </c>
      <c r="G5" t="s">
        <v>187</v>
      </c>
      <c r="H5" s="6" t="s">
        <v>117</v>
      </c>
      <c r="I5" s="6" t="s">
        <v>118</v>
      </c>
      <c r="J5" s="6" t="s">
        <v>28</v>
      </c>
      <c r="K5" s="6" t="s">
        <v>28</v>
      </c>
      <c r="L5" s="6" t="s">
        <v>91</v>
      </c>
      <c r="M5">
        <v>11</v>
      </c>
      <c r="N5" t="b">
        <v>1</v>
      </c>
      <c r="O5" t="b">
        <v>0</v>
      </c>
      <c r="P5">
        <v>1</v>
      </c>
      <c r="Q5">
        <v>0</v>
      </c>
      <c r="R5">
        <v>1</v>
      </c>
      <c r="S5">
        <v>0</v>
      </c>
      <c r="T5" t="s">
        <v>106</v>
      </c>
      <c r="U5" s="6" t="s">
        <v>107</v>
      </c>
      <c r="V5">
        <v>45</v>
      </c>
      <c r="W5">
        <v>0</v>
      </c>
      <c r="X5">
        <v>0</v>
      </c>
      <c r="Y5">
        <v>0</v>
      </c>
      <c r="Z5">
        <v>1</v>
      </c>
      <c r="AA5" t="b">
        <v>1</v>
      </c>
      <c r="AB5" s="6" t="s">
        <v>30</v>
      </c>
      <c r="AC5" s="6" t="s">
        <v>90</v>
      </c>
      <c r="AD5" s="6" t="s">
        <v>120</v>
      </c>
      <c r="AE5" s="6" t="s">
        <v>121</v>
      </c>
      <c r="AF5" s="6" t="s">
        <v>122</v>
      </c>
      <c r="AG5" s="6" t="s">
        <v>123</v>
      </c>
      <c r="AH5" s="6" t="s">
        <v>31</v>
      </c>
      <c r="AI5" s="6" t="s">
        <v>124</v>
      </c>
      <c r="AJ5" s="6" t="s">
        <v>49</v>
      </c>
      <c r="AK5" s="6" t="s">
        <v>50</v>
      </c>
      <c r="AL5" s="6" t="s">
        <v>125</v>
      </c>
      <c r="AM5" s="6" t="s">
        <v>29</v>
      </c>
      <c r="AN5" s="6" t="s">
        <v>54</v>
      </c>
      <c r="AO5" s="6" t="s">
        <v>55</v>
      </c>
      <c r="AP5" s="6" t="s">
        <v>56</v>
      </c>
      <c r="AQ5" s="6" t="s">
        <v>57</v>
      </c>
      <c r="AR5" s="6" t="s">
        <v>58</v>
      </c>
      <c r="AS5" s="6" t="s">
        <v>59</v>
      </c>
      <c r="AT5" s="6" t="s">
        <v>60</v>
      </c>
      <c r="AU5" s="6" t="s">
        <v>61</v>
      </c>
      <c r="AV5" s="6" t="s">
        <v>62</v>
      </c>
      <c r="BB5" s="6" t="s">
        <v>126</v>
      </c>
      <c r="BC5" s="6" t="s">
        <v>127</v>
      </c>
      <c r="BD5" s="6" t="s">
        <v>128</v>
      </c>
      <c r="BE5" s="6" t="s">
        <v>129</v>
      </c>
      <c r="BF5" s="6" t="s">
        <v>130</v>
      </c>
      <c r="BG5" s="6" t="s">
        <v>91</v>
      </c>
      <c r="BH5" s="6" t="s">
        <v>131</v>
      </c>
      <c r="BI5" s="6" t="s">
        <v>132</v>
      </c>
      <c r="BJ5" s="6" t="s">
        <v>133</v>
      </c>
      <c r="BK5" s="6" t="s">
        <v>134</v>
      </c>
      <c r="BL5" s="6" t="s">
        <v>135</v>
      </c>
      <c r="BM5" s="6" t="s">
        <v>63</v>
      </c>
      <c r="BN5" s="6" t="s">
        <v>64</v>
      </c>
      <c r="BO5" s="6" t="s">
        <v>65</v>
      </c>
      <c r="BP5" s="6" t="s">
        <v>66</v>
      </c>
      <c r="BQ5" s="6" t="s">
        <v>67</v>
      </c>
      <c r="BR5" s="6" t="s">
        <v>68</v>
      </c>
      <c r="BS5" s="6" t="s">
        <v>69</v>
      </c>
      <c r="BT5" s="6" t="s">
        <v>70</v>
      </c>
      <c r="BU5" s="6" t="s">
        <v>71</v>
      </c>
      <c r="CA5" t="s">
        <v>136</v>
      </c>
      <c r="CB5" t="s">
        <v>137</v>
      </c>
      <c r="CC5" t="s">
        <v>138</v>
      </c>
      <c r="CD5" t="s">
        <v>139</v>
      </c>
      <c r="CE5" t="s">
        <v>140</v>
      </c>
      <c r="CF5" t="s">
        <v>141</v>
      </c>
      <c r="CG5" t="s">
        <v>142</v>
      </c>
      <c r="CH5" t="s">
        <v>143</v>
      </c>
      <c r="CI5" t="s">
        <v>144</v>
      </c>
      <c r="CJ5" t="s">
        <v>145</v>
      </c>
      <c r="CK5" t="s">
        <v>146</v>
      </c>
      <c r="CL5" t="s">
        <v>34</v>
      </c>
      <c r="CM5" t="s">
        <v>35</v>
      </c>
      <c r="CN5" t="s">
        <v>36</v>
      </c>
      <c r="CO5" t="s">
        <v>37</v>
      </c>
      <c r="CP5" t="s">
        <v>38</v>
      </c>
      <c r="CQ5" t="s">
        <v>39</v>
      </c>
      <c r="CR5" t="s">
        <v>40</v>
      </c>
      <c r="CS5" t="s">
        <v>41</v>
      </c>
      <c r="CT5" t="s">
        <v>42</v>
      </c>
    </row>
    <row r="6" spans="1:98" x14ac:dyDescent="0.25">
      <c r="A6">
        <v>2</v>
      </c>
      <c r="B6" t="b">
        <v>0</v>
      </c>
      <c r="C6">
        <v>0</v>
      </c>
      <c r="D6" t="s">
        <v>88</v>
      </c>
      <c r="E6" s="4" t="e">
        <f>#REF!</f>
        <v>#REF!</v>
      </c>
      <c r="F6" t="s">
        <v>156</v>
      </c>
      <c r="G6" t="s">
        <v>119</v>
      </c>
      <c r="H6" s="6" t="s">
        <v>117</v>
      </c>
      <c r="I6" s="6" t="s">
        <v>118</v>
      </c>
      <c r="J6" s="6" t="s">
        <v>28</v>
      </c>
      <c r="K6" s="6" t="s">
        <v>28</v>
      </c>
      <c r="L6" s="6" t="s">
        <v>159</v>
      </c>
      <c r="M6">
        <v>20</v>
      </c>
      <c r="N6" t="b">
        <v>1</v>
      </c>
      <c r="O6" t="b">
        <v>0</v>
      </c>
      <c r="P6">
        <v>1</v>
      </c>
      <c r="Q6">
        <v>0</v>
      </c>
      <c r="R6">
        <v>1</v>
      </c>
      <c r="S6">
        <v>0</v>
      </c>
      <c r="T6" t="s">
        <v>157</v>
      </c>
      <c r="U6" s="6" t="s">
        <v>158</v>
      </c>
      <c r="V6">
        <v>191.33</v>
      </c>
      <c r="W6">
        <v>0</v>
      </c>
      <c r="X6">
        <v>0</v>
      </c>
      <c r="Y6">
        <v>0</v>
      </c>
      <c r="Z6">
        <v>1</v>
      </c>
      <c r="AA6" t="b">
        <v>1</v>
      </c>
      <c r="AC6" s="6" t="s">
        <v>90</v>
      </c>
      <c r="AD6" s="6" t="s">
        <v>196</v>
      </c>
      <c r="AE6" s="6" t="s">
        <v>197</v>
      </c>
      <c r="AF6" s="6" t="s">
        <v>198</v>
      </c>
      <c r="AG6" s="6" t="s">
        <v>199</v>
      </c>
      <c r="AH6" s="6" t="s">
        <v>200</v>
      </c>
      <c r="AI6" s="6" t="s">
        <v>201</v>
      </c>
      <c r="AJ6" s="6" t="s">
        <v>202</v>
      </c>
      <c r="AK6" s="6" t="s">
        <v>203</v>
      </c>
      <c r="AL6" s="6" t="s">
        <v>204</v>
      </c>
      <c r="AM6" s="6" t="s">
        <v>205</v>
      </c>
      <c r="AN6" s="6" t="s">
        <v>206</v>
      </c>
      <c r="AO6" s="6" t="s">
        <v>207</v>
      </c>
      <c r="AP6" s="6" t="s">
        <v>208</v>
      </c>
      <c r="AQ6" s="6" t="s">
        <v>209</v>
      </c>
      <c r="AR6" s="6" t="s">
        <v>210</v>
      </c>
      <c r="AS6" s="6" t="s">
        <v>211</v>
      </c>
      <c r="AT6" s="6" t="s">
        <v>212</v>
      </c>
      <c r="AU6" s="6" t="s">
        <v>213</v>
      </c>
      <c r="AV6" s="6" t="s">
        <v>29</v>
      </c>
      <c r="BB6" s="6" t="s">
        <v>214</v>
      </c>
      <c r="BC6" s="6" t="s">
        <v>215</v>
      </c>
      <c r="BD6" s="6" t="s">
        <v>216</v>
      </c>
      <c r="BE6" s="6" t="s">
        <v>217</v>
      </c>
      <c r="BF6" s="6" t="s">
        <v>218</v>
      </c>
      <c r="BG6" s="6" t="s">
        <v>219</v>
      </c>
      <c r="BH6" s="6" t="s">
        <v>220</v>
      </c>
      <c r="BI6" s="6" t="s">
        <v>221</v>
      </c>
      <c r="BJ6" s="6" t="s">
        <v>222</v>
      </c>
      <c r="BK6" s="6" t="s">
        <v>223</v>
      </c>
      <c r="BL6" s="6" t="s">
        <v>224</v>
      </c>
      <c r="BM6" s="6" t="s">
        <v>225</v>
      </c>
      <c r="BN6" s="6" t="s">
        <v>226</v>
      </c>
      <c r="BO6" s="6" t="s">
        <v>227</v>
      </c>
      <c r="BP6" s="6" t="s">
        <v>228</v>
      </c>
      <c r="BQ6" s="6" t="s">
        <v>229</v>
      </c>
      <c r="BR6" s="6" t="s">
        <v>230</v>
      </c>
      <c r="BS6" s="6" t="s">
        <v>231</v>
      </c>
      <c r="BT6" s="6" t="s">
        <v>232</v>
      </c>
      <c r="BU6" s="6" t="s">
        <v>233</v>
      </c>
      <c r="CA6" t="s">
        <v>136</v>
      </c>
      <c r="CB6" t="s">
        <v>234</v>
      </c>
      <c r="CC6" t="s">
        <v>235</v>
      </c>
      <c r="CD6" t="s">
        <v>236</v>
      </c>
      <c r="CE6" t="s">
        <v>237</v>
      </c>
      <c r="CF6" t="s">
        <v>238</v>
      </c>
      <c r="CG6" t="s">
        <v>239</v>
      </c>
      <c r="CH6" t="s">
        <v>240</v>
      </c>
      <c r="CI6" t="s">
        <v>241</v>
      </c>
      <c r="CJ6" t="s">
        <v>242</v>
      </c>
      <c r="CK6" t="s">
        <v>243</v>
      </c>
      <c r="CL6" t="s">
        <v>244</v>
      </c>
      <c r="CM6" t="s">
        <v>245</v>
      </c>
      <c r="CN6" t="s">
        <v>246</v>
      </c>
      <c r="CO6" t="s">
        <v>247</v>
      </c>
      <c r="CP6" t="s">
        <v>248</v>
      </c>
      <c r="CQ6" t="s">
        <v>249</v>
      </c>
      <c r="CR6" t="s">
        <v>250</v>
      </c>
      <c r="CS6" t="s">
        <v>251</v>
      </c>
      <c r="CT6" t="s">
        <v>146</v>
      </c>
    </row>
    <row r="7" spans="1:98" x14ac:dyDescent="0.25">
      <c r="A7">
        <v>3</v>
      </c>
      <c r="B7" t="b">
        <v>1</v>
      </c>
      <c r="C7">
        <v>0</v>
      </c>
      <c r="D7" t="s">
        <v>88</v>
      </c>
      <c r="E7" s="7" t="e">
        <f>#REF!</f>
        <v>#REF!</v>
      </c>
      <c r="F7" t="s">
        <v>72</v>
      </c>
      <c r="G7" t="s">
        <v>254</v>
      </c>
      <c r="H7" s="6" t="s">
        <v>28</v>
      </c>
      <c r="I7" s="6" t="s">
        <v>28</v>
      </c>
      <c r="J7" s="6" t="s">
        <v>252</v>
      </c>
      <c r="K7" s="6" t="s">
        <v>253</v>
      </c>
      <c r="L7" s="6" t="s">
        <v>73</v>
      </c>
      <c r="M7">
        <v>15</v>
      </c>
      <c r="N7" t="b">
        <v>1</v>
      </c>
      <c r="O7" t="b">
        <v>0</v>
      </c>
      <c r="P7">
        <v>1</v>
      </c>
      <c r="Q7">
        <v>0</v>
      </c>
      <c r="R7">
        <v>1</v>
      </c>
      <c r="S7">
        <v>0</v>
      </c>
      <c r="T7" t="s">
        <v>87</v>
      </c>
      <c r="U7" s="6" t="s">
        <v>43</v>
      </c>
      <c r="V7">
        <v>0.5</v>
      </c>
      <c r="W7">
        <v>0</v>
      </c>
      <c r="X7">
        <v>0</v>
      </c>
      <c r="Y7">
        <v>0</v>
      </c>
      <c r="Z7">
        <v>3</v>
      </c>
      <c r="AA7" t="b">
        <v>1</v>
      </c>
      <c r="AC7" s="6" t="s">
        <v>28</v>
      </c>
      <c r="AD7" s="6" t="s">
        <v>28</v>
      </c>
      <c r="AE7" s="6" t="s">
        <v>28</v>
      </c>
      <c r="AF7" s="6" t="s">
        <v>28</v>
      </c>
      <c r="AG7" s="6" t="s">
        <v>28</v>
      </c>
      <c r="AH7" s="6" t="s">
        <v>28</v>
      </c>
      <c r="AI7" s="6" t="s">
        <v>28</v>
      </c>
      <c r="AJ7" s="6" t="s">
        <v>28</v>
      </c>
      <c r="AK7" s="6" t="s">
        <v>28</v>
      </c>
      <c r="AL7" s="6" t="s">
        <v>28</v>
      </c>
      <c r="AM7" s="6" t="s">
        <v>28</v>
      </c>
      <c r="AN7" s="6" t="s">
        <v>28</v>
      </c>
      <c r="AO7" s="6" t="s">
        <v>28</v>
      </c>
      <c r="AP7" s="6" t="s">
        <v>28</v>
      </c>
      <c r="AQ7" s="6" t="s">
        <v>28</v>
      </c>
      <c r="BB7" s="6" t="s">
        <v>29</v>
      </c>
      <c r="BC7" s="6" t="s">
        <v>255</v>
      </c>
      <c r="BD7" s="6" t="s">
        <v>256</v>
      </c>
      <c r="BE7" s="6" t="s">
        <v>257</v>
      </c>
      <c r="BF7" s="6" t="s">
        <v>258</v>
      </c>
      <c r="BG7" s="6" t="s">
        <v>259</v>
      </c>
      <c r="BH7" s="6" t="s">
        <v>260</v>
      </c>
      <c r="BI7" s="6" t="s">
        <v>57</v>
      </c>
      <c r="BJ7" s="6" t="s">
        <v>261</v>
      </c>
      <c r="BK7" s="6" t="s">
        <v>262</v>
      </c>
      <c r="BL7" s="6" t="s">
        <v>263</v>
      </c>
      <c r="BM7" s="6" t="s">
        <v>264</v>
      </c>
      <c r="BN7" s="6" t="s">
        <v>265</v>
      </c>
      <c r="BO7" s="6" t="s">
        <v>266</v>
      </c>
      <c r="BP7" s="6" t="s">
        <v>73</v>
      </c>
      <c r="CA7" t="s">
        <v>267</v>
      </c>
      <c r="CB7" t="s">
        <v>268</v>
      </c>
      <c r="CC7" t="s">
        <v>269</v>
      </c>
      <c r="CD7" t="s">
        <v>270</v>
      </c>
      <c r="CE7" t="s">
        <v>271</v>
      </c>
      <c r="CF7" t="s">
        <v>272</v>
      </c>
      <c r="CG7" t="s">
        <v>273</v>
      </c>
      <c r="CH7" t="s">
        <v>274</v>
      </c>
      <c r="CI7" t="s">
        <v>275</v>
      </c>
      <c r="CJ7" t="s">
        <v>276</v>
      </c>
      <c r="CK7" t="s">
        <v>277</v>
      </c>
      <c r="CL7" t="s">
        <v>278</v>
      </c>
      <c r="CM7" t="s">
        <v>279</v>
      </c>
      <c r="CN7" t="s">
        <v>280</v>
      </c>
      <c r="CO7" t="s">
        <v>281</v>
      </c>
    </row>
    <row r="8" spans="1:98" x14ac:dyDescent="0.25">
      <c r="A8">
        <v>4</v>
      </c>
      <c r="B8" t="b">
        <v>0</v>
      </c>
      <c r="C8">
        <v>0</v>
      </c>
      <c r="D8" t="s">
        <v>88</v>
      </c>
      <c r="E8" s="7" t="e">
        <f>#REF!</f>
        <v>#REF!</v>
      </c>
      <c r="F8" t="s">
        <v>282</v>
      </c>
      <c r="G8" t="s">
        <v>285</v>
      </c>
      <c r="H8" s="6" t="s">
        <v>28</v>
      </c>
      <c r="I8" s="6" t="s">
        <v>28</v>
      </c>
      <c r="J8" s="6" t="s">
        <v>31</v>
      </c>
      <c r="K8" s="6" t="s">
        <v>284</v>
      </c>
      <c r="L8" s="6" t="s">
        <v>74</v>
      </c>
      <c r="M8">
        <v>11</v>
      </c>
      <c r="N8" t="b">
        <v>1</v>
      </c>
      <c r="O8" t="b">
        <v>0</v>
      </c>
      <c r="P8">
        <v>1</v>
      </c>
      <c r="Q8">
        <v>0</v>
      </c>
      <c r="R8">
        <v>1</v>
      </c>
      <c r="S8">
        <v>0</v>
      </c>
      <c r="T8" t="s">
        <v>283</v>
      </c>
      <c r="U8" s="6" t="s">
        <v>31</v>
      </c>
      <c r="V8">
        <v>1.5</v>
      </c>
      <c r="W8">
        <v>0</v>
      </c>
      <c r="X8">
        <v>0</v>
      </c>
      <c r="Y8">
        <v>0</v>
      </c>
      <c r="Z8">
        <v>2</v>
      </c>
      <c r="AA8" t="b">
        <v>1</v>
      </c>
      <c r="AC8" s="6" t="s">
        <v>31</v>
      </c>
      <c r="AD8" s="6" t="s">
        <v>286</v>
      </c>
      <c r="AE8" s="6" t="s">
        <v>287</v>
      </c>
      <c r="AF8" s="6" t="s">
        <v>62</v>
      </c>
      <c r="AG8" s="6" t="s">
        <v>288</v>
      </c>
      <c r="AH8" s="6" t="s">
        <v>289</v>
      </c>
      <c r="AI8" s="6" t="s">
        <v>290</v>
      </c>
      <c r="AJ8" s="6" t="s">
        <v>291</v>
      </c>
      <c r="AK8" s="6" t="s">
        <v>292</v>
      </c>
      <c r="AL8" s="6" t="s">
        <v>293</v>
      </c>
      <c r="AM8" s="6" t="s">
        <v>294</v>
      </c>
      <c r="BB8" s="6" t="s">
        <v>74</v>
      </c>
      <c r="BC8" s="6" t="s">
        <v>295</v>
      </c>
      <c r="BD8" s="6" t="s">
        <v>296</v>
      </c>
      <c r="BE8" s="6" t="s">
        <v>297</v>
      </c>
      <c r="BF8" s="6" t="s">
        <v>298</v>
      </c>
      <c r="BG8" s="6" t="s">
        <v>299</v>
      </c>
      <c r="BH8" s="6" t="s">
        <v>300</v>
      </c>
      <c r="BI8" s="6" t="s">
        <v>301</v>
      </c>
      <c r="BJ8" s="6" t="s">
        <v>302</v>
      </c>
      <c r="BK8" s="6" t="s">
        <v>303</v>
      </c>
      <c r="BL8" s="6" t="s">
        <v>304</v>
      </c>
      <c r="CA8" t="s">
        <v>48</v>
      </c>
      <c r="CB8" t="s">
        <v>305</v>
      </c>
      <c r="CC8" t="s">
        <v>306</v>
      </c>
      <c r="CD8" t="s">
        <v>307</v>
      </c>
      <c r="CE8" t="s">
        <v>308</v>
      </c>
      <c r="CF8" t="s">
        <v>33</v>
      </c>
      <c r="CG8" t="s">
        <v>34</v>
      </c>
      <c r="CH8" t="s">
        <v>36</v>
      </c>
      <c r="CI8" t="s">
        <v>38</v>
      </c>
      <c r="CJ8" t="s">
        <v>40</v>
      </c>
      <c r="CK8" t="s">
        <v>42</v>
      </c>
    </row>
    <row r="9" spans="1:98" x14ac:dyDescent="0.25">
      <c r="A9">
        <v>5</v>
      </c>
      <c r="B9" t="b">
        <v>1</v>
      </c>
      <c r="C9">
        <v>0</v>
      </c>
      <c r="D9" t="s">
        <v>88</v>
      </c>
      <c r="E9" s="7" t="e">
        <f>#REF!</f>
        <v>#REF!</v>
      </c>
      <c r="F9" t="s">
        <v>109</v>
      </c>
      <c r="G9" t="s">
        <v>119</v>
      </c>
      <c r="H9" s="6" t="s">
        <v>117</v>
      </c>
      <c r="I9" s="6" t="s">
        <v>118</v>
      </c>
      <c r="J9" s="6" t="s">
        <v>28</v>
      </c>
      <c r="K9" s="6" t="s">
        <v>28</v>
      </c>
      <c r="L9" s="6" t="s">
        <v>112</v>
      </c>
      <c r="M9">
        <v>5</v>
      </c>
      <c r="N9" t="b">
        <v>1</v>
      </c>
      <c r="O9" t="b">
        <v>0</v>
      </c>
      <c r="P9">
        <v>1</v>
      </c>
      <c r="Q9">
        <v>0</v>
      </c>
      <c r="R9">
        <v>1</v>
      </c>
      <c r="S9">
        <v>105</v>
      </c>
      <c r="T9" t="s">
        <v>110</v>
      </c>
      <c r="U9" s="6" t="s">
        <v>111</v>
      </c>
      <c r="V9">
        <v>5.62</v>
      </c>
      <c r="W9">
        <v>1</v>
      </c>
      <c r="X9">
        <v>42</v>
      </c>
      <c r="Y9">
        <v>0</v>
      </c>
      <c r="Z9">
        <v>1</v>
      </c>
      <c r="AA9" t="b">
        <v>1</v>
      </c>
      <c r="AC9" s="6" t="s">
        <v>90</v>
      </c>
      <c r="AD9" s="6" t="s">
        <v>147</v>
      </c>
      <c r="AE9" s="6" t="s">
        <v>31</v>
      </c>
      <c r="AF9" s="6" t="s">
        <v>148</v>
      </c>
      <c r="AG9" s="6" t="s">
        <v>29</v>
      </c>
      <c r="AH9" s="6" t="s">
        <v>28</v>
      </c>
      <c r="BB9" s="6" t="s">
        <v>149</v>
      </c>
      <c r="BC9" s="6" t="s">
        <v>150</v>
      </c>
      <c r="BD9" s="6" t="s">
        <v>151</v>
      </c>
      <c r="BE9" s="6" t="s">
        <v>152</v>
      </c>
      <c r="BF9" s="6" t="s">
        <v>153</v>
      </c>
      <c r="BG9" s="6" t="s">
        <v>75</v>
      </c>
      <c r="CA9" t="s">
        <v>136</v>
      </c>
      <c r="CB9" t="s">
        <v>154</v>
      </c>
      <c r="CC9" t="s">
        <v>141</v>
      </c>
      <c r="CD9" t="s">
        <v>155</v>
      </c>
      <c r="CE9" t="s">
        <v>146</v>
      </c>
      <c r="CF9" t="s">
        <v>76</v>
      </c>
    </row>
    <row r="10" spans="1:98" x14ac:dyDescent="0.25">
      <c r="A10">
        <v>6</v>
      </c>
      <c r="B10" t="b">
        <v>1</v>
      </c>
      <c r="C10">
        <v>0</v>
      </c>
      <c r="D10" t="s">
        <v>88</v>
      </c>
      <c r="E10" s="7" t="e">
        <f>#REF!</f>
        <v>#REF!</v>
      </c>
      <c r="F10" t="s">
        <v>156</v>
      </c>
      <c r="G10" t="s">
        <v>162</v>
      </c>
      <c r="H10" s="6" t="s">
        <v>160</v>
      </c>
      <c r="I10" s="6" t="s">
        <v>161</v>
      </c>
      <c r="J10" s="6" t="s">
        <v>28</v>
      </c>
      <c r="K10" s="6" t="s">
        <v>28</v>
      </c>
      <c r="L10" s="6" t="s">
        <v>159</v>
      </c>
      <c r="M10">
        <v>11</v>
      </c>
      <c r="N10" t="b">
        <v>1</v>
      </c>
      <c r="O10" t="b">
        <v>0</v>
      </c>
      <c r="P10">
        <v>1</v>
      </c>
      <c r="Q10">
        <v>0</v>
      </c>
      <c r="R10">
        <v>1</v>
      </c>
      <c r="S10">
        <v>0</v>
      </c>
      <c r="T10" t="s">
        <v>157</v>
      </c>
      <c r="U10" s="6" t="s">
        <v>158</v>
      </c>
      <c r="V10">
        <v>191.33</v>
      </c>
      <c r="W10">
        <v>0</v>
      </c>
      <c r="X10">
        <v>0</v>
      </c>
      <c r="Y10">
        <v>0</v>
      </c>
      <c r="Z10">
        <v>1</v>
      </c>
      <c r="AA10" t="b">
        <v>1</v>
      </c>
      <c r="AC10" s="6" t="s">
        <v>163</v>
      </c>
      <c r="AD10" s="6" t="s">
        <v>164</v>
      </c>
      <c r="AE10" s="6" t="s">
        <v>165</v>
      </c>
      <c r="AF10" s="6" t="s">
        <v>166</v>
      </c>
      <c r="AG10" s="6" t="s">
        <v>121</v>
      </c>
      <c r="AH10" s="6" t="s">
        <v>31</v>
      </c>
      <c r="AI10" s="6" t="s">
        <v>50</v>
      </c>
      <c r="AJ10" s="6" t="s">
        <v>51</v>
      </c>
      <c r="AK10" s="6" t="s">
        <v>52</v>
      </c>
      <c r="AL10" s="6" t="s">
        <v>54</v>
      </c>
      <c r="AM10" s="6" t="s">
        <v>57</v>
      </c>
      <c r="BB10" s="6" t="s">
        <v>167</v>
      </c>
      <c r="BC10" s="6" t="s">
        <v>168</v>
      </c>
      <c r="BD10" s="6" t="s">
        <v>169</v>
      </c>
      <c r="BE10" s="6" t="s">
        <v>170</v>
      </c>
      <c r="BF10" s="6" t="s">
        <v>171</v>
      </c>
      <c r="BG10" s="6" t="s">
        <v>172</v>
      </c>
      <c r="BH10" s="6" t="s">
        <v>173</v>
      </c>
      <c r="BI10" s="6" t="s">
        <v>174</v>
      </c>
      <c r="BJ10" s="6" t="s">
        <v>175</v>
      </c>
      <c r="BK10" s="6" t="s">
        <v>176</v>
      </c>
      <c r="BL10" s="6" t="s">
        <v>177</v>
      </c>
      <c r="CA10" t="s">
        <v>178</v>
      </c>
      <c r="CB10" t="s">
        <v>179</v>
      </c>
      <c r="CC10" t="s">
        <v>180</v>
      </c>
      <c r="CD10" t="s">
        <v>181</v>
      </c>
      <c r="CE10" t="s">
        <v>138</v>
      </c>
      <c r="CF10" t="s">
        <v>141</v>
      </c>
      <c r="CG10" t="s">
        <v>144</v>
      </c>
      <c r="CH10" t="s">
        <v>182</v>
      </c>
      <c r="CI10" t="s">
        <v>183</v>
      </c>
      <c r="CJ10" t="s">
        <v>184</v>
      </c>
      <c r="CK10" t="s">
        <v>185</v>
      </c>
    </row>
    <row r="11" spans="1:98" x14ac:dyDescent="0.25">
      <c r="A11">
        <v>7</v>
      </c>
      <c r="B11" t="b">
        <v>1</v>
      </c>
      <c r="C11">
        <v>0</v>
      </c>
      <c r="D11" t="s">
        <v>88</v>
      </c>
      <c r="E11" t="e">
        <f>#REF!</f>
        <v>#REF!</v>
      </c>
      <c r="F11" t="s">
        <v>72</v>
      </c>
      <c r="G11" t="s">
        <v>187</v>
      </c>
      <c r="H11" s="6" t="s">
        <v>28</v>
      </c>
      <c r="I11" s="6" t="s">
        <v>28</v>
      </c>
      <c r="J11" s="6" t="s">
        <v>186</v>
      </c>
      <c r="K11" s="6" t="s">
        <v>124</v>
      </c>
      <c r="L11" s="6" t="s">
        <v>43</v>
      </c>
      <c r="M11">
        <v>5</v>
      </c>
      <c r="N11" t="b">
        <v>1</v>
      </c>
      <c r="O11" t="b">
        <v>0</v>
      </c>
      <c r="P11">
        <v>1</v>
      </c>
      <c r="Q11">
        <v>0</v>
      </c>
      <c r="R11">
        <v>1</v>
      </c>
      <c r="S11">
        <v>0</v>
      </c>
      <c r="T11" t="s">
        <v>87</v>
      </c>
      <c r="U11" s="6" t="s">
        <v>43</v>
      </c>
      <c r="W11">
        <v>0</v>
      </c>
      <c r="X11">
        <v>0</v>
      </c>
      <c r="Y11">
        <v>0</v>
      </c>
      <c r="Z11">
        <v>2</v>
      </c>
      <c r="AA11" t="b">
        <v>1</v>
      </c>
      <c r="AC11" s="6" t="s">
        <v>108</v>
      </c>
      <c r="AD11" s="6" t="s">
        <v>188</v>
      </c>
      <c r="AE11" s="6" t="s">
        <v>189</v>
      </c>
      <c r="AF11" s="6" t="s">
        <v>190</v>
      </c>
      <c r="AG11" s="6" t="s">
        <v>29</v>
      </c>
      <c r="AH11" s="6" t="s">
        <v>31</v>
      </c>
      <c r="AI11" s="6" t="s">
        <v>92</v>
      </c>
      <c r="AJ11" s="6" t="s">
        <v>93</v>
      </c>
      <c r="AK11" s="6" t="s">
        <v>94</v>
      </c>
      <c r="AL11" s="6" t="s">
        <v>95</v>
      </c>
      <c r="AM11" s="6" t="s">
        <v>96</v>
      </c>
      <c r="BB11" s="6" t="s">
        <v>31</v>
      </c>
      <c r="BC11" s="6" t="s">
        <v>191</v>
      </c>
      <c r="BD11" s="6" t="s">
        <v>32</v>
      </c>
      <c r="BE11" s="6" t="s">
        <v>192</v>
      </c>
      <c r="BF11" s="6" t="s">
        <v>53</v>
      </c>
      <c r="BG11" s="6" t="s">
        <v>89</v>
      </c>
      <c r="BH11" s="6" t="s">
        <v>97</v>
      </c>
      <c r="BI11" s="6" t="s">
        <v>98</v>
      </c>
      <c r="BJ11" s="6" t="s">
        <v>99</v>
      </c>
      <c r="BK11" s="6" t="s">
        <v>100</v>
      </c>
      <c r="BL11" s="6" t="s">
        <v>101</v>
      </c>
      <c r="CA11" t="s">
        <v>193</v>
      </c>
      <c r="CB11" t="s">
        <v>194</v>
      </c>
      <c r="CC11" t="s">
        <v>46</v>
      </c>
      <c r="CD11" t="s">
        <v>47</v>
      </c>
      <c r="CE11" t="s">
        <v>195</v>
      </c>
      <c r="CF11" t="s">
        <v>48</v>
      </c>
      <c r="CG11" t="s">
        <v>33</v>
      </c>
      <c r="CH11" t="s">
        <v>42</v>
      </c>
      <c r="CI11" t="s">
        <v>102</v>
      </c>
      <c r="CJ11" t="s">
        <v>103</v>
      </c>
      <c r="CK11" t="s">
        <v>104</v>
      </c>
    </row>
    <row r="12" spans="1:98" x14ac:dyDescent="0.25">
      <c r="A12">
        <v>8</v>
      </c>
      <c r="B12" t="b">
        <v>1</v>
      </c>
      <c r="C12">
        <v>0</v>
      </c>
      <c r="D12" t="s">
        <v>88</v>
      </c>
      <c r="E12" t="e">
        <f>#REF!</f>
        <v>#REF!</v>
      </c>
      <c r="F12" t="s">
        <v>105</v>
      </c>
      <c r="G12" t="s">
        <v>119</v>
      </c>
      <c r="H12" s="6" t="s">
        <v>117</v>
      </c>
      <c r="I12" s="6" t="s">
        <v>118</v>
      </c>
      <c r="J12" s="6" t="s">
        <v>28</v>
      </c>
      <c r="K12" s="6" t="s">
        <v>28</v>
      </c>
      <c r="L12" s="6" t="s">
        <v>91</v>
      </c>
      <c r="M12">
        <v>11</v>
      </c>
      <c r="N12" t="b">
        <v>1</v>
      </c>
      <c r="O12" t="b">
        <v>0</v>
      </c>
      <c r="P12">
        <v>1</v>
      </c>
      <c r="Q12">
        <v>0</v>
      </c>
      <c r="R12">
        <v>1</v>
      </c>
      <c r="S12">
        <v>0</v>
      </c>
      <c r="T12" t="s">
        <v>106</v>
      </c>
      <c r="U12" s="6" t="s">
        <v>107</v>
      </c>
      <c r="V12">
        <v>45</v>
      </c>
      <c r="W12">
        <v>0</v>
      </c>
      <c r="X12">
        <v>0</v>
      </c>
      <c r="Y12">
        <v>0</v>
      </c>
      <c r="Z12">
        <v>1</v>
      </c>
      <c r="AA12" t="b">
        <v>1</v>
      </c>
      <c r="AC12" s="6" t="s">
        <v>90</v>
      </c>
      <c r="AD12" s="6" t="s">
        <v>120</v>
      </c>
      <c r="AE12" s="6" t="s">
        <v>121</v>
      </c>
      <c r="AF12" s="6" t="s">
        <v>122</v>
      </c>
      <c r="AG12" s="6" t="s">
        <v>123</v>
      </c>
      <c r="AH12" s="6" t="s">
        <v>31</v>
      </c>
      <c r="AI12" s="6" t="s">
        <v>124</v>
      </c>
      <c r="AJ12" s="6" t="s">
        <v>49</v>
      </c>
      <c r="AK12" s="6" t="s">
        <v>50</v>
      </c>
      <c r="AL12" s="6" t="s">
        <v>125</v>
      </c>
      <c r="AM12" s="6" t="s">
        <v>29</v>
      </c>
      <c r="BB12" s="6" t="s">
        <v>126</v>
      </c>
      <c r="BC12" s="6" t="s">
        <v>127</v>
      </c>
      <c r="BD12" s="6" t="s">
        <v>128</v>
      </c>
      <c r="BE12" s="6" t="s">
        <v>129</v>
      </c>
      <c r="BF12" s="6" t="s">
        <v>130</v>
      </c>
      <c r="BG12" s="6" t="s">
        <v>91</v>
      </c>
      <c r="BH12" s="6" t="s">
        <v>131</v>
      </c>
      <c r="BI12" s="6" t="s">
        <v>132</v>
      </c>
      <c r="BJ12" s="6" t="s">
        <v>133</v>
      </c>
      <c r="BK12" s="6" t="s">
        <v>134</v>
      </c>
      <c r="BL12" s="6" t="s">
        <v>135</v>
      </c>
      <c r="CA12" t="s">
        <v>136</v>
      </c>
      <c r="CB12" t="s">
        <v>137</v>
      </c>
      <c r="CC12" t="s">
        <v>138</v>
      </c>
      <c r="CD12" t="s">
        <v>139</v>
      </c>
      <c r="CE12" t="s">
        <v>140</v>
      </c>
      <c r="CF12" t="s">
        <v>141</v>
      </c>
      <c r="CG12" t="s">
        <v>142</v>
      </c>
      <c r="CH12" t="s">
        <v>143</v>
      </c>
      <c r="CI12" t="s">
        <v>144</v>
      </c>
      <c r="CJ12" t="s">
        <v>145</v>
      </c>
      <c r="CK12" t="s">
        <v>146</v>
      </c>
    </row>
    <row r="13" spans="1:98" x14ac:dyDescent="0.25">
      <c r="A13">
        <v>9</v>
      </c>
      <c r="B13" t="b">
        <v>0</v>
      </c>
      <c r="C13">
        <v>0</v>
      </c>
      <c r="D13" t="s">
        <v>88</v>
      </c>
      <c r="E13" s="7" t="e">
        <f>#REF!</f>
        <v>#REF!</v>
      </c>
      <c r="F13" t="s">
        <v>109</v>
      </c>
      <c r="G13" t="s">
        <v>119</v>
      </c>
      <c r="H13" s="6" t="s">
        <v>117</v>
      </c>
      <c r="I13" s="6" t="s">
        <v>118</v>
      </c>
      <c r="J13" s="6" t="s">
        <v>28</v>
      </c>
      <c r="K13" s="6" t="s">
        <v>28</v>
      </c>
      <c r="L13" s="6" t="s">
        <v>112</v>
      </c>
      <c r="M13">
        <v>5</v>
      </c>
      <c r="N13" t="b">
        <v>1</v>
      </c>
      <c r="O13" t="b">
        <v>0</v>
      </c>
      <c r="P13">
        <v>1</v>
      </c>
      <c r="Q13">
        <v>0</v>
      </c>
      <c r="R13">
        <v>1</v>
      </c>
      <c r="S13">
        <v>105</v>
      </c>
      <c r="T13" t="s">
        <v>110</v>
      </c>
      <c r="U13" s="6" t="s">
        <v>111</v>
      </c>
      <c r="V13">
        <v>5.62</v>
      </c>
      <c r="W13">
        <v>1</v>
      </c>
      <c r="X13">
        <v>42</v>
      </c>
      <c r="Y13">
        <v>0</v>
      </c>
      <c r="Z13">
        <v>1</v>
      </c>
      <c r="AA13" t="b">
        <v>1</v>
      </c>
      <c r="AC13" s="6" t="s">
        <v>90</v>
      </c>
      <c r="AD13" s="6" t="s">
        <v>147</v>
      </c>
      <c r="AE13" s="6" t="s">
        <v>31</v>
      </c>
      <c r="AF13" s="6" t="s">
        <v>148</v>
      </c>
      <c r="AG13" s="6" t="s">
        <v>29</v>
      </c>
      <c r="AH13" s="6" t="s">
        <v>113</v>
      </c>
      <c r="AI13" s="6" t="s">
        <v>114</v>
      </c>
      <c r="BB13" s="6" t="s">
        <v>149</v>
      </c>
      <c r="BC13" s="6" t="s">
        <v>150</v>
      </c>
      <c r="BD13" s="6" t="s">
        <v>151</v>
      </c>
      <c r="BE13" s="6" t="s">
        <v>152</v>
      </c>
      <c r="BF13" s="6" t="s">
        <v>153</v>
      </c>
      <c r="BG13" s="6" t="s">
        <v>28</v>
      </c>
      <c r="BH13" s="6" t="s">
        <v>28</v>
      </c>
      <c r="CA13" t="s">
        <v>136</v>
      </c>
      <c r="CB13" t="s">
        <v>154</v>
      </c>
      <c r="CC13" t="s">
        <v>141</v>
      </c>
      <c r="CD13" t="s">
        <v>155</v>
      </c>
      <c r="CE13" t="s">
        <v>146</v>
      </c>
      <c r="CF13" t="s">
        <v>115</v>
      </c>
      <c r="CG13" t="s">
        <v>116</v>
      </c>
    </row>
    <row r="14" spans="1:98" x14ac:dyDescent="0.25">
      <c r="A14">
        <v>10</v>
      </c>
      <c r="B14" t="b">
        <v>1</v>
      </c>
      <c r="C14">
        <v>0</v>
      </c>
      <c r="D14" t="s">
        <v>88</v>
      </c>
      <c r="E14" s="7" t="e">
        <f>#REF!</f>
        <v>#REF!</v>
      </c>
      <c r="F14" t="s">
        <v>156</v>
      </c>
      <c r="G14" t="s">
        <v>162</v>
      </c>
      <c r="H14" s="6" t="s">
        <v>160</v>
      </c>
      <c r="I14" s="6" t="s">
        <v>161</v>
      </c>
      <c r="J14" s="6" t="s">
        <v>28</v>
      </c>
      <c r="K14" s="6" t="s">
        <v>28</v>
      </c>
      <c r="L14" s="6" t="s">
        <v>159</v>
      </c>
      <c r="M14">
        <v>11</v>
      </c>
      <c r="N14" t="b">
        <v>1</v>
      </c>
      <c r="O14" t="b">
        <v>0</v>
      </c>
      <c r="P14">
        <v>1</v>
      </c>
      <c r="Q14">
        <v>0</v>
      </c>
      <c r="R14">
        <v>1</v>
      </c>
      <c r="S14">
        <v>0</v>
      </c>
      <c r="T14" t="s">
        <v>157</v>
      </c>
      <c r="U14" s="6" t="s">
        <v>158</v>
      </c>
      <c r="W14">
        <v>0</v>
      </c>
      <c r="X14">
        <v>0</v>
      </c>
      <c r="Y14">
        <v>0</v>
      </c>
      <c r="Z14">
        <v>1</v>
      </c>
      <c r="AA14" t="b">
        <v>1</v>
      </c>
      <c r="AC14" s="6" t="s">
        <v>163</v>
      </c>
      <c r="AD14" s="6" t="s">
        <v>164</v>
      </c>
      <c r="AE14" s="6" t="s">
        <v>165</v>
      </c>
      <c r="AF14" s="6" t="s">
        <v>166</v>
      </c>
      <c r="AG14" s="6" t="s">
        <v>121</v>
      </c>
      <c r="AH14" s="6" t="s">
        <v>31</v>
      </c>
      <c r="AI14" s="6" t="s">
        <v>50</v>
      </c>
      <c r="AJ14" s="6" t="s">
        <v>51</v>
      </c>
      <c r="AK14" s="6" t="s">
        <v>52</v>
      </c>
      <c r="AL14" s="6" t="s">
        <v>54</v>
      </c>
      <c r="AM14" s="6" t="s">
        <v>57</v>
      </c>
      <c r="BB14" s="6" t="s">
        <v>167</v>
      </c>
      <c r="BC14" s="6" t="s">
        <v>168</v>
      </c>
      <c r="BD14" s="6" t="s">
        <v>169</v>
      </c>
      <c r="BE14" s="6" t="s">
        <v>170</v>
      </c>
      <c r="BF14" s="6" t="s">
        <v>171</v>
      </c>
      <c r="BG14" s="6" t="s">
        <v>172</v>
      </c>
      <c r="BH14" s="6" t="s">
        <v>173</v>
      </c>
      <c r="BI14" s="6" t="s">
        <v>174</v>
      </c>
      <c r="BJ14" s="6" t="s">
        <v>175</v>
      </c>
      <c r="BK14" s="6" t="s">
        <v>176</v>
      </c>
      <c r="BL14" s="6" t="s">
        <v>177</v>
      </c>
      <c r="CA14" t="s">
        <v>178</v>
      </c>
      <c r="CB14" t="s">
        <v>179</v>
      </c>
      <c r="CC14" t="s">
        <v>180</v>
      </c>
      <c r="CD14" t="s">
        <v>181</v>
      </c>
      <c r="CE14" t="s">
        <v>138</v>
      </c>
      <c r="CF14" t="s">
        <v>141</v>
      </c>
      <c r="CG14" t="s">
        <v>144</v>
      </c>
      <c r="CH14" t="s">
        <v>182</v>
      </c>
      <c r="CI14" t="s">
        <v>183</v>
      </c>
      <c r="CJ14" t="s">
        <v>184</v>
      </c>
      <c r="CK14"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7"/>
  <sheetViews>
    <sheetView workbookViewId="0"/>
  </sheetViews>
  <sheetFormatPr defaultRowHeight="15" x14ac:dyDescent="0.25"/>
  <sheetData>
    <row r="1" spans="1:116" x14ac:dyDescent="0.25">
      <c r="A1">
        <v>7</v>
      </c>
      <c r="B1">
        <v>0</v>
      </c>
    </row>
    <row r="2" spans="1:116" x14ac:dyDescent="0.25">
      <c r="A2">
        <v>0</v>
      </c>
    </row>
    <row r="3" spans="1:116" x14ac:dyDescent="0.25">
      <c r="A3">
        <f>Model!$C$27</f>
        <v>4535495.7647409579</v>
      </c>
      <c r="B3" t="b">
        <v>1</v>
      </c>
      <c r="C3">
        <v>0</v>
      </c>
      <c r="D3">
        <v>3</v>
      </c>
      <c r="E3" t="s">
        <v>376</v>
      </c>
      <c r="F3">
        <v>6</v>
      </c>
      <c r="G3">
        <v>0</v>
      </c>
      <c r="H3">
        <v>0</v>
      </c>
      <c r="J3" t="s">
        <v>377</v>
      </c>
      <c r="K3" t="s">
        <v>378</v>
      </c>
      <c r="L3" t="s">
        <v>379</v>
      </c>
      <c r="AG3">
        <f>Model!$C$27</f>
        <v>4535495.7647409579</v>
      </c>
      <c r="AH3">
        <v>150</v>
      </c>
      <c r="AI3">
        <v>1</v>
      </c>
      <c r="AJ3" t="b">
        <v>0</v>
      </c>
      <c r="AK3" t="b">
        <v>1</v>
      </c>
      <c r="AL3">
        <v>0</v>
      </c>
      <c r="AM3" t="b">
        <v>0</v>
      </c>
      <c r="AN3" t="e">
        <f t="shared" ref="AN3:AN9" si="0">_</f>
        <v>#NAME?</v>
      </c>
      <c r="AO3">
        <f>Model!$C$41</f>
        <v>3944491.363370378</v>
      </c>
      <c r="AP3">
        <v>206</v>
      </c>
      <c r="AQ3">
        <v>1</v>
      </c>
      <c r="AR3" t="b">
        <v>0</v>
      </c>
      <c r="AS3" t="b">
        <v>1</v>
      </c>
      <c r="AT3">
        <v>0</v>
      </c>
      <c r="AU3" t="b">
        <v>0</v>
      </c>
      <c r="AV3" t="e">
        <f>_</f>
        <v>#NAME?</v>
      </c>
      <c r="AW3">
        <f>Model!$C$41</f>
        <v>3944491.363370378</v>
      </c>
      <c r="AX3">
        <v>206</v>
      </c>
      <c r="AY3">
        <v>2</v>
      </c>
      <c r="AZ3" t="b">
        <v>0</v>
      </c>
      <c r="BA3" t="b">
        <v>1</v>
      </c>
      <c r="BB3">
        <v>0</v>
      </c>
      <c r="BC3" t="b">
        <v>0</v>
      </c>
      <c r="BD3" t="e">
        <f>_</f>
        <v>#NAME?</v>
      </c>
      <c r="BE3">
        <f>Model!$C$41</f>
        <v>3944491.363370378</v>
      </c>
      <c r="BF3">
        <v>206</v>
      </c>
      <c r="BG3">
        <v>3</v>
      </c>
      <c r="BH3" t="b">
        <v>0</v>
      </c>
      <c r="BI3" t="b">
        <v>1</v>
      </c>
      <c r="BJ3">
        <v>0</v>
      </c>
      <c r="BK3" t="b">
        <v>0</v>
      </c>
      <c r="BL3" t="e">
        <f>_</f>
        <v>#NAME?</v>
      </c>
      <c r="BM3">
        <f>Model!$C$27</f>
        <v>4535495.7647409579</v>
      </c>
      <c r="BN3">
        <v>150</v>
      </c>
      <c r="BO3">
        <v>2</v>
      </c>
      <c r="BP3" t="b">
        <v>0</v>
      </c>
      <c r="BQ3" t="b">
        <v>1</v>
      </c>
      <c r="BR3">
        <v>0</v>
      </c>
      <c r="BS3" t="b">
        <v>0</v>
      </c>
      <c r="BT3" t="e">
        <f>_</f>
        <v>#NAME?</v>
      </c>
      <c r="BU3">
        <f>Model!$C$27</f>
        <v>4535495.7647409579</v>
      </c>
      <c r="BV3">
        <v>150</v>
      </c>
      <c r="BW3">
        <v>3</v>
      </c>
      <c r="BX3" t="b">
        <v>0</v>
      </c>
      <c r="BY3" t="b">
        <v>1</v>
      </c>
      <c r="BZ3">
        <v>0</v>
      </c>
      <c r="CA3" t="b">
        <v>0</v>
      </c>
      <c r="CB3" t="e">
        <f>_</f>
        <v>#NAME?</v>
      </c>
      <c r="CD3">
        <v>0</v>
      </c>
      <c r="CE3">
        <v>0</v>
      </c>
      <c r="CF3">
        <v>0</v>
      </c>
      <c r="CH3" t="s">
        <v>377</v>
      </c>
      <c r="CI3" t="s">
        <v>378</v>
      </c>
      <c r="CJ3" t="s">
        <v>379</v>
      </c>
      <c r="DF3">
        <v>0</v>
      </c>
      <c r="DG3">
        <v>0</v>
      </c>
      <c r="DH3">
        <v>0</v>
      </c>
      <c r="DJ3" t="s">
        <v>377</v>
      </c>
      <c r="DK3" t="s">
        <v>378</v>
      </c>
      <c r="DL3" t="s">
        <v>379</v>
      </c>
    </row>
    <row r="4" spans="1:116" x14ac:dyDescent="0.25">
      <c r="A4">
        <f>Model!$D$27</f>
        <v>4435194.7675981866</v>
      </c>
      <c r="B4" t="b">
        <v>1</v>
      </c>
      <c r="C4">
        <v>0</v>
      </c>
      <c r="D4">
        <v>3</v>
      </c>
      <c r="E4" t="s">
        <v>380</v>
      </c>
      <c r="F4">
        <v>6</v>
      </c>
      <c r="G4">
        <v>0</v>
      </c>
      <c r="H4">
        <v>0</v>
      </c>
      <c r="J4" t="s">
        <v>377</v>
      </c>
      <c r="K4" t="s">
        <v>378</v>
      </c>
      <c r="L4" t="s">
        <v>379</v>
      </c>
      <c r="AG4">
        <f>Model!$D$27</f>
        <v>4435194.7675981866</v>
      </c>
      <c r="AH4">
        <v>151</v>
      </c>
      <c r="AI4">
        <v>1</v>
      </c>
      <c r="AJ4" t="b">
        <v>0</v>
      </c>
      <c r="AK4" t="b">
        <v>1</v>
      </c>
      <c r="AL4">
        <v>0</v>
      </c>
      <c r="AM4" t="b">
        <v>0</v>
      </c>
      <c r="AN4" t="e">
        <f t="shared" si="0"/>
        <v>#NAME?</v>
      </c>
      <c r="AO4">
        <f>Model!$D$70</f>
        <v>2898901.7333523859</v>
      </c>
      <c r="AP4">
        <v>263</v>
      </c>
      <c r="AQ4">
        <v>1</v>
      </c>
      <c r="AR4" t="b">
        <v>0</v>
      </c>
      <c r="AS4" t="b">
        <v>1</v>
      </c>
      <c r="AT4">
        <v>0</v>
      </c>
      <c r="AU4" t="b">
        <v>0</v>
      </c>
      <c r="AV4" t="e">
        <f>_</f>
        <v>#NAME?</v>
      </c>
      <c r="AW4">
        <f>Model!$D$70</f>
        <v>2898901.7333523859</v>
      </c>
      <c r="AX4">
        <v>263</v>
      </c>
      <c r="AY4">
        <v>2</v>
      </c>
      <c r="AZ4" t="b">
        <v>0</v>
      </c>
      <c r="BA4" t="b">
        <v>1</v>
      </c>
      <c r="BB4">
        <v>0</v>
      </c>
      <c r="BC4" t="b">
        <v>0</v>
      </c>
      <c r="BD4" t="e">
        <f>_</f>
        <v>#NAME?</v>
      </c>
      <c r="BE4">
        <f>Model!$D$70</f>
        <v>2898901.7333523859</v>
      </c>
      <c r="BF4">
        <v>263</v>
      </c>
      <c r="BG4">
        <v>3</v>
      </c>
      <c r="BH4" t="b">
        <v>0</v>
      </c>
      <c r="BI4" t="b">
        <v>1</v>
      </c>
      <c r="BJ4">
        <v>0</v>
      </c>
      <c r="BK4" t="b">
        <v>0</v>
      </c>
      <c r="BL4" t="e">
        <f>_</f>
        <v>#NAME?</v>
      </c>
      <c r="BM4">
        <f>Model!$D$27</f>
        <v>4435194.7675981866</v>
      </c>
      <c r="BN4">
        <v>151</v>
      </c>
      <c r="BO4">
        <v>2</v>
      </c>
      <c r="BP4" t="b">
        <v>0</v>
      </c>
      <c r="BQ4" t="b">
        <v>1</v>
      </c>
      <c r="BR4">
        <v>0</v>
      </c>
      <c r="BS4" t="b">
        <v>0</v>
      </c>
      <c r="BT4" t="e">
        <f>_</f>
        <v>#NAME?</v>
      </c>
      <c r="BU4">
        <f>Model!$D$27</f>
        <v>4435194.7675981866</v>
      </c>
      <c r="BV4">
        <v>151</v>
      </c>
      <c r="BW4">
        <v>3</v>
      </c>
      <c r="BX4" t="b">
        <v>0</v>
      </c>
      <c r="BY4" t="b">
        <v>1</v>
      </c>
      <c r="BZ4">
        <v>0</v>
      </c>
      <c r="CA4" t="b">
        <v>0</v>
      </c>
      <c r="CB4" t="e">
        <f>_</f>
        <v>#NAME?</v>
      </c>
      <c r="CD4">
        <v>0</v>
      </c>
      <c r="CE4">
        <v>0</v>
      </c>
      <c r="CF4">
        <v>0</v>
      </c>
      <c r="CH4" t="s">
        <v>377</v>
      </c>
      <c r="CI4" t="s">
        <v>378</v>
      </c>
      <c r="CJ4" t="s">
        <v>379</v>
      </c>
      <c r="DF4">
        <v>0</v>
      </c>
      <c r="DG4">
        <v>0</v>
      </c>
      <c r="DH4">
        <v>0</v>
      </c>
      <c r="DJ4" t="s">
        <v>377</v>
      </c>
      <c r="DK4" t="s">
        <v>378</v>
      </c>
      <c r="DL4" t="s">
        <v>379</v>
      </c>
    </row>
    <row r="5" spans="1:116" x14ac:dyDescent="0.25">
      <c r="A5" t="e">
        <f>Model!#REF!</f>
        <v>#REF!</v>
      </c>
      <c r="B5" t="b">
        <v>1</v>
      </c>
      <c r="C5">
        <v>0</v>
      </c>
      <c r="D5">
        <v>3</v>
      </c>
      <c r="E5" t="s">
        <v>381</v>
      </c>
      <c r="F5">
        <v>1</v>
      </c>
      <c r="G5">
        <v>0</v>
      </c>
      <c r="H5">
        <v>0</v>
      </c>
      <c r="J5" t="s">
        <v>377</v>
      </c>
      <c r="K5" t="s">
        <v>378</v>
      </c>
      <c r="L5" t="s">
        <v>379</v>
      </c>
      <c r="AG5" t="e">
        <f>Model!#REF!</f>
        <v>#REF!</v>
      </c>
      <c r="AH5">
        <v>169</v>
      </c>
      <c r="AI5">
        <v>1</v>
      </c>
      <c r="AJ5" t="b">
        <v>0</v>
      </c>
      <c r="AK5" t="b">
        <v>1</v>
      </c>
      <c r="AL5">
        <v>0</v>
      </c>
      <c r="AM5" t="b">
        <v>0</v>
      </c>
      <c r="AN5" t="e">
        <f t="shared" si="0"/>
        <v>#NAME?</v>
      </c>
      <c r="AP5">
        <v>0</v>
      </c>
      <c r="AQ5">
        <v>0</v>
      </c>
      <c r="AR5">
        <v>0</v>
      </c>
      <c r="AT5" t="s">
        <v>377</v>
      </c>
      <c r="AU5" t="s">
        <v>378</v>
      </c>
      <c r="AV5" t="s">
        <v>379</v>
      </c>
      <c r="BR5">
        <v>0</v>
      </c>
      <c r="BS5">
        <v>0</v>
      </c>
      <c r="BT5">
        <v>0</v>
      </c>
      <c r="BV5" t="s">
        <v>377</v>
      </c>
      <c r="BW5" t="s">
        <v>378</v>
      </c>
      <c r="BX5" t="s">
        <v>379</v>
      </c>
    </row>
    <row r="6" spans="1:116" x14ac:dyDescent="0.25">
      <c r="A6" t="e">
        <f>Model!#REF!</f>
        <v>#REF!</v>
      </c>
      <c r="B6" t="b">
        <v>1</v>
      </c>
      <c r="C6">
        <v>0</v>
      </c>
      <c r="D6">
        <v>3</v>
      </c>
      <c r="E6" t="s">
        <v>382</v>
      </c>
      <c r="F6">
        <v>3</v>
      </c>
      <c r="G6">
        <v>0</v>
      </c>
      <c r="H6">
        <v>0</v>
      </c>
      <c r="J6" t="s">
        <v>377</v>
      </c>
      <c r="K6" t="s">
        <v>378</v>
      </c>
      <c r="L6" t="s">
        <v>379</v>
      </c>
      <c r="AG6" t="e">
        <f>Model!#REF!</f>
        <v>#REF!</v>
      </c>
      <c r="AH6">
        <v>197</v>
      </c>
      <c r="AI6">
        <v>1</v>
      </c>
      <c r="AJ6" t="b">
        <v>0</v>
      </c>
      <c r="AK6" t="b">
        <v>1</v>
      </c>
      <c r="AL6">
        <v>0</v>
      </c>
      <c r="AM6" t="b">
        <v>0</v>
      </c>
      <c r="AN6" t="e">
        <f t="shared" si="0"/>
        <v>#NAME?</v>
      </c>
      <c r="AO6" t="e">
        <f>Model!#REF!</f>
        <v>#REF!</v>
      </c>
      <c r="AP6">
        <v>197</v>
      </c>
      <c r="AQ6">
        <v>2</v>
      </c>
      <c r="AR6" t="b">
        <v>0</v>
      </c>
      <c r="AS6" t="b">
        <v>1</v>
      </c>
      <c r="AT6">
        <v>0</v>
      </c>
      <c r="AU6" t="b">
        <v>0</v>
      </c>
      <c r="AV6" t="e">
        <f>_</f>
        <v>#NAME?</v>
      </c>
      <c r="AW6" t="e">
        <f>Model!#REF!</f>
        <v>#REF!</v>
      </c>
      <c r="AX6">
        <v>197</v>
      </c>
      <c r="AY6">
        <v>3</v>
      </c>
      <c r="AZ6" t="b">
        <v>0</v>
      </c>
      <c r="BA6" t="b">
        <v>1</v>
      </c>
      <c r="BB6">
        <v>0</v>
      </c>
      <c r="BC6" t="b">
        <v>0</v>
      </c>
      <c r="BD6" t="e">
        <f>_</f>
        <v>#NAME?</v>
      </c>
      <c r="BF6">
        <v>0</v>
      </c>
      <c r="BG6">
        <v>0</v>
      </c>
      <c r="BH6">
        <v>0</v>
      </c>
      <c r="BJ6" t="s">
        <v>377</v>
      </c>
      <c r="BK6" t="s">
        <v>378</v>
      </c>
      <c r="BL6" t="s">
        <v>379</v>
      </c>
      <c r="CH6">
        <v>0</v>
      </c>
      <c r="CI6">
        <v>0</v>
      </c>
      <c r="CJ6">
        <v>0</v>
      </c>
      <c r="CL6" t="s">
        <v>377</v>
      </c>
      <c r="CM6" t="s">
        <v>378</v>
      </c>
      <c r="CN6" t="s">
        <v>379</v>
      </c>
    </row>
    <row r="7" spans="1:116" x14ac:dyDescent="0.25">
      <c r="A7">
        <f>Model!$C$41</f>
        <v>3944491.363370378</v>
      </c>
      <c r="B7" t="b">
        <v>1</v>
      </c>
      <c r="C7">
        <v>0</v>
      </c>
      <c r="D7">
        <v>3</v>
      </c>
      <c r="E7" t="s">
        <v>382</v>
      </c>
      <c r="F7">
        <v>3</v>
      </c>
      <c r="G7">
        <v>0</v>
      </c>
      <c r="H7">
        <v>0</v>
      </c>
      <c r="J7" t="s">
        <v>377</v>
      </c>
      <c r="K7" t="s">
        <v>378</v>
      </c>
      <c r="L7" t="s">
        <v>379</v>
      </c>
      <c r="AG7">
        <f>Model!$C$41</f>
        <v>3944491.363370378</v>
      </c>
      <c r="AH7">
        <v>206</v>
      </c>
      <c r="AI7">
        <v>1</v>
      </c>
      <c r="AJ7" t="b">
        <v>0</v>
      </c>
      <c r="AK7" t="b">
        <v>1</v>
      </c>
      <c r="AL7">
        <v>0</v>
      </c>
      <c r="AM7" t="b">
        <v>0</v>
      </c>
      <c r="AN7" t="e">
        <f t="shared" si="0"/>
        <v>#NAME?</v>
      </c>
      <c r="AO7">
        <f>Model!$C$41</f>
        <v>3944491.363370378</v>
      </c>
      <c r="AP7">
        <v>206</v>
      </c>
      <c r="AQ7">
        <v>2</v>
      </c>
      <c r="AR7" t="b">
        <v>0</v>
      </c>
      <c r="AS7" t="b">
        <v>1</v>
      </c>
      <c r="AT7">
        <v>0</v>
      </c>
      <c r="AU7" t="b">
        <v>0</v>
      </c>
      <c r="AV7" t="e">
        <f>_</f>
        <v>#NAME?</v>
      </c>
      <c r="AW7">
        <f>Model!$C$41</f>
        <v>3944491.363370378</v>
      </c>
      <c r="AX7">
        <v>206</v>
      </c>
      <c r="AY7">
        <v>3</v>
      </c>
      <c r="AZ7" t="b">
        <v>0</v>
      </c>
      <c r="BA7" t="b">
        <v>1</v>
      </c>
      <c r="BB7">
        <v>0</v>
      </c>
      <c r="BC7" t="b">
        <v>0</v>
      </c>
      <c r="BD7" t="e">
        <f>_</f>
        <v>#NAME?</v>
      </c>
      <c r="BF7">
        <v>0</v>
      </c>
      <c r="BG7">
        <v>0</v>
      </c>
      <c r="BH7">
        <v>0</v>
      </c>
      <c r="BJ7" t="s">
        <v>377</v>
      </c>
      <c r="BK7" t="s">
        <v>378</v>
      </c>
      <c r="BL7" t="s">
        <v>379</v>
      </c>
      <c r="CH7">
        <v>0</v>
      </c>
      <c r="CI7">
        <v>0</v>
      </c>
      <c r="CJ7">
        <v>0</v>
      </c>
      <c r="CL7" t="s">
        <v>377</v>
      </c>
      <c r="CM7" t="s">
        <v>378</v>
      </c>
      <c r="CN7" t="s">
        <v>379</v>
      </c>
    </row>
    <row r="8" spans="1:116" x14ac:dyDescent="0.25">
      <c r="A8">
        <f>Model!$B$70</f>
        <v>3028108.3818689017</v>
      </c>
      <c r="B8" t="b">
        <v>1</v>
      </c>
      <c r="C8">
        <v>0</v>
      </c>
      <c r="D8">
        <v>3</v>
      </c>
      <c r="E8" t="s">
        <v>383</v>
      </c>
      <c r="F8">
        <v>3</v>
      </c>
      <c r="G8">
        <v>0</v>
      </c>
      <c r="H8">
        <v>0</v>
      </c>
      <c r="J8" t="s">
        <v>377</v>
      </c>
      <c r="K8" t="s">
        <v>378</v>
      </c>
      <c r="L8" t="s">
        <v>379</v>
      </c>
      <c r="AG8">
        <f>Model!$B$70</f>
        <v>3028108.3818689017</v>
      </c>
      <c r="AH8">
        <v>261</v>
      </c>
      <c r="AI8">
        <v>1</v>
      </c>
      <c r="AJ8" t="b">
        <v>0</v>
      </c>
      <c r="AK8" t="b">
        <v>1</v>
      </c>
      <c r="AL8">
        <v>0</v>
      </c>
      <c r="AM8" t="b">
        <v>0</v>
      </c>
      <c r="AN8" t="e">
        <f t="shared" si="0"/>
        <v>#NAME?</v>
      </c>
      <c r="AO8">
        <f>Model!$B$70</f>
        <v>3028108.3818689017</v>
      </c>
      <c r="AP8">
        <v>261</v>
      </c>
      <c r="AQ8">
        <v>2</v>
      </c>
      <c r="AR8" t="b">
        <v>0</v>
      </c>
      <c r="AS8" t="b">
        <v>1</v>
      </c>
      <c r="AT8">
        <v>0</v>
      </c>
      <c r="AU8" t="b">
        <v>0</v>
      </c>
      <c r="AV8" t="e">
        <f>_</f>
        <v>#NAME?</v>
      </c>
      <c r="AW8">
        <f>Model!$B$70</f>
        <v>3028108.3818689017</v>
      </c>
      <c r="AX8">
        <v>261</v>
      </c>
      <c r="AY8">
        <v>3</v>
      </c>
      <c r="AZ8" t="b">
        <v>0</v>
      </c>
      <c r="BA8" t="b">
        <v>1</v>
      </c>
      <c r="BB8">
        <v>0</v>
      </c>
      <c r="BC8" t="b">
        <v>0</v>
      </c>
      <c r="BD8" t="e">
        <f>_</f>
        <v>#NAME?</v>
      </c>
      <c r="BF8">
        <v>0</v>
      </c>
      <c r="BG8">
        <v>0</v>
      </c>
      <c r="BH8">
        <v>0</v>
      </c>
      <c r="BJ8" t="s">
        <v>377</v>
      </c>
      <c r="BK8" t="s">
        <v>378</v>
      </c>
      <c r="BL8" t="s">
        <v>379</v>
      </c>
      <c r="CH8">
        <v>0</v>
      </c>
      <c r="CI8">
        <v>0</v>
      </c>
      <c r="CJ8">
        <v>0</v>
      </c>
      <c r="CL8" t="s">
        <v>377</v>
      </c>
      <c r="CM8" t="s">
        <v>378</v>
      </c>
      <c r="CN8" t="s">
        <v>379</v>
      </c>
    </row>
    <row r="9" spans="1:116" x14ac:dyDescent="0.25">
      <c r="A9">
        <f>Model!$D$70</f>
        <v>2898901.7333523859</v>
      </c>
      <c r="B9" t="b">
        <v>1</v>
      </c>
      <c r="C9">
        <v>0</v>
      </c>
      <c r="D9">
        <v>3</v>
      </c>
      <c r="E9" t="s">
        <v>384</v>
      </c>
      <c r="F9">
        <v>3</v>
      </c>
      <c r="G9">
        <v>0</v>
      </c>
      <c r="H9">
        <v>0</v>
      </c>
      <c r="J9" t="s">
        <v>377</v>
      </c>
      <c r="K9" t="s">
        <v>378</v>
      </c>
      <c r="L9" t="s">
        <v>379</v>
      </c>
      <c r="AG9">
        <f>Model!$D$70</f>
        <v>2898901.7333523859</v>
      </c>
      <c r="AH9">
        <v>263</v>
      </c>
      <c r="AI9">
        <v>1</v>
      </c>
      <c r="AJ9" t="b">
        <v>0</v>
      </c>
      <c r="AK9" t="b">
        <v>1</v>
      </c>
      <c r="AL9">
        <v>0</v>
      </c>
      <c r="AM9" t="b">
        <v>0</v>
      </c>
      <c r="AN9" t="e">
        <f t="shared" si="0"/>
        <v>#NAME?</v>
      </c>
      <c r="AO9">
        <f>Model!$D$70</f>
        <v>2898901.7333523859</v>
      </c>
      <c r="AP9">
        <v>263</v>
      </c>
      <c r="AQ9">
        <v>2</v>
      </c>
      <c r="AR9" t="b">
        <v>0</v>
      </c>
      <c r="AS9" t="b">
        <v>1</v>
      </c>
      <c r="AT9">
        <v>0</v>
      </c>
      <c r="AU9" t="b">
        <v>0</v>
      </c>
      <c r="AV9" t="e">
        <f>_</f>
        <v>#NAME?</v>
      </c>
      <c r="AW9">
        <f>Model!$D$70</f>
        <v>2898901.7333523859</v>
      </c>
      <c r="AX9">
        <v>263</v>
      </c>
      <c r="AY9">
        <v>3</v>
      </c>
      <c r="AZ9" t="b">
        <v>0</v>
      </c>
      <c r="BA9" t="b">
        <v>1</v>
      </c>
      <c r="BB9">
        <v>0</v>
      </c>
      <c r="BC9" t="b">
        <v>0</v>
      </c>
      <c r="BD9" t="e">
        <f>_</f>
        <v>#NAME?</v>
      </c>
      <c r="BF9">
        <v>0</v>
      </c>
      <c r="BG9">
        <v>0</v>
      </c>
      <c r="BH9">
        <v>0</v>
      </c>
      <c r="BJ9" t="s">
        <v>377</v>
      </c>
      <c r="BK9" t="s">
        <v>378</v>
      </c>
      <c r="BL9" t="s">
        <v>379</v>
      </c>
      <c r="CH9">
        <v>0</v>
      </c>
      <c r="CI9">
        <v>0</v>
      </c>
      <c r="CJ9">
        <v>0</v>
      </c>
      <c r="CL9" t="s">
        <v>377</v>
      </c>
      <c r="CM9" t="s">
        <v>378</v>
      </c>
      <c r="CN9" t="s">
        <v>379</v>
      </c>
    </row>
    <row r="10" spans="1:116" x14ac:dyDescent="0.25">
      <c r="A10">
        <v>0</v>
      </c>
    </row>
    <row r="11" spans="1:116" x14ac:dyDescent="0.25">
      <c r="A11" t="b">
        <v>0</v>
      </c>
      <c r="B11">
        <v>15680</v>
      </c>
      <c r="C11">
        <v>7345</v>
      </c>
      <c r="D11">
        <v>13120</v>
      </c>
      <c r="E11">
        <v>100</v>
      </c>
    </row>
    <row r="12" spans="1:116" x14ac:dyDescent="0.25">
      <c r="A12" t="b">
        <v>0</v>
      </c>
      <c r="B12">
        <v>15680</v>
      </c>
      <c r="C12">
        <v>7345</v>
      </c>
      <c r="D12">
        <v>13120</v>
      </c>
      <c r="E12">
        <v>500</v>
      </c>
    </row>
    <row r="13" spans="1:116" x14ac:dyDescent="0.25">
      <c r="A13" t="b">
        <v>0</v>
      </c>
      <c r="B13">
        <v>15680</v>
      </c>
      <c r="C13">
        <v>7345</v>
      </c>
      <c r="D13">
        <v>13120</v>
      </c>
      <c r="E13">
        <v>1000</v>
      </c>
    </row>
    <row r="14" spans="1:116" x14ac:dyDescent="0.25">
      <c r="A14" t="b">
        <v>0</v>
      </c>
      <c r="B14">
        <v>15680</v>
      </c>
      <c r="C14">
        <v>7345</v>
      </c>
      <c r="D14">
        <v>13120</v>
      </c>
      <c r="E14">
        <v>1500</v>
      </c>
    </row>
    <row r="15" spans="1:116" x14ac:dyDescent="0.25">
      <c r="A15" t="b">
        <v>0</v>
      </c>
      <c r="B15">
        <v>15680</v>
      </c>
      <c r="C15">
        <v>7345</v>
      </c>
      <c r="D15">
        <v>13120</v>
      </c>
      <c r="E15">
        <v>2000</v>
      </c>
    </row>
    <row r="16" spans="1:116" x14ac:dyDescent="0.25">
      <c r="A16">
        <v>0</v>
      </c>
    </row>
    <row r="17" spans="1:6" x14ac:dyDescent="0.25">
      <c r="A17">
        <v>0</v>
      </c>
      <c r="B17" t="b">
        <v>0</v>
      </c>
      <c r="C17" t="b">
        <v>0</v>
      </c>
      <c r="D17">
        <v>10</v>
      </c>
      <c r="E17">
        <v>0.95</v>
      </c>
      <c r="F17">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42:N42"/>
  <sheetViews>
    <sheetView topLeftCell="A3" workbookViewId="0">
      <selection activeCell="L42" sqref="L42"/>
    </sheetView>
  </sheetViews>
  <sheetFormatPr defaultRowHeight="15" x14ac:dyDescent="0.25"/>
  <sheetData>
    <row r="42" spans="12:14" x14ac:dyDescent="0.25">
      <c r="L42">
        <v>2</v>
      </c>
      <c r="M42">
        <v>1</v>
      </c>
      <c r="N42">
        <f>L42+M42</f>
        <v>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D2"/>
  <sheetViews>
    <sheetView workbookViewId="0"/>
  </sheetViews>
  <sheetFormatPr defaultRowHeight="15" x14ac:dyDescent="0.25"/>
  <sheetData>
    <row r="1" spans="1:2578" x14ac:dyDescent="0.25">
      <c r="A1">
        <v>1</v>
      </c>
      <c r="B1">
        <v>1499</v>
      </c>
      <c r="C1">
        <v>1289</v>
      </c>
      <c r="D1">
        <v>2578</v>
      </c>
      <c r="E1">
        <v>0</v>
      </c>
      <c r="F1">
        <v>0</v>
      </c>
      <c r="G1">
        <v>0</v>
      </c>
    </row>
    <row r="2" spans="1:2578" x14ac:dyDescent="0.25">
      <c r="A2" s="7">
        <f>Model!$B$8</f>
        <v>34.622724849999997</v>
      </c>
      <c r="B2" t="e">
        <f ca="1">IF(Model!B83=1,0,RiskValStatic(34.62272485)+_xll.RiskWeibull(1.9674,24.208,_xll.RiskTruncate(,52),_xll.RiskShift(13.565),_xll.RiskName(CONCATENATE("WW Yield-",Model!B1))))</f>
        <v>#NAME?</v>
      </c>
      <c r="C2" s="7">
        <f>Model!$C$8</f>
        <v>34.622724849999997</v>
      </c>
      <c r="D2" t="e">
        <f ca="1">IF(Model!C83=1,0,RiskValStatic(34.62272485)+_xll.RiskWeibull(1.9674,24.208,_xll.RiskTruncate(,52),_xll.RiskShift(13.565),_xll.RiskName(CONCATENATE("WW Yield-",Model!C1))))</f>
        <v>#NAME?</v>
      </c>
      <c r="E2" s="7">
        <f>Model!$D$8</f>
        <v>34.622724849999997</v>
      </c>
      <c r="F2" t="e">
        <f ca="1">IF(Model!D83=1,0,RiskValStatic(34.62272485)+_xll.RiskWeibull(1.9674,24.208,_xll.RiskTruncate(,52),_xll.RiskShift(13.565),_xll.RiskName(CONCATENATE("WW Yield-",Model!D1))))</f>
        <v>#NAME?</v>
      </c>
      <c r="G2" s="7">
        <f>Model!$E$8</f>
        <v>34.622724849999997</v>
      </c>
      <c r="H2" t="e">
        <f ca="1">IF(Model!E83=1,0,RiskValStatic(34.62272485)+_xll.RiskWeibull(1.9674,24.208,_xll.RiskTruncate(,52),_xll.RiskShift(13.565),_xll.RiskName(CONCATENATE("WW Yield-",Model!E1))))</f>
        <v>#NAME?</v>
      </c>
      <c r="I2" s="7">
        <f>Model!$F$8</f>
        <v>34.622724849999997</v>
      </c>
      <c r="J2" t="e">
        <f ca="1">IF(Model!F83=1,0,RiskValStatic(34.62272485)+_xll.RiskWeibull(1.9674,24.208,_xll.RiskTruncate(,52),_xll.RiskShift(13.565),_xll.RiskName(CONCATENATE("WW Yield-",Model!F1))))</f>
        <v>#NAME?</v>
      </c>
      <c r="K2" s="7">
        <f>Model!$G$8</f>
        <v>34.622724849999997</v>
      </c>
      <c r="L2" t="e">
        <f ca="1">IF(Model!G83=1,0,RiskValStatic(34.62272485)+_xll.RiskWeibull(1.9674,24.208,_xll.RiskTruncate(,52),_xll.RiskShift(13.565),_xll.RiskName(CONCATENATE("WW Yield-",Model!G1))))</f>
        <v>#NAME?</v>
      </c>
      <c r="M2" s="7">
        <f>Model!$H$8</f>
        <v>34.622724849999997</v>
      </c>
      <c r="N2" t="e">
        <f ca="1">IF(Model!H83=1,0,RiskValStatic(34.62272485)+_xll.RiskWeibull(1.9674,24.208,_xll.RiskTruncate(,52),_xll.RiskShift(13.565),_xll.RiskName(CONCATENATE("WW Yield-",Model!H1))))</f>
        <v>#NAME?</v>
      </c>
      <c r="O2" s="7">
        <f>Model!$I$8</f>
        <v>34.622724849999997</v>
      </c>
      <c r="P2" t="e">
        <f ca="1">IF(Model!I83=1,0,RiskValStatic(34.62272485)+_xll.RiskWeibull(1.9674,24.208,_xll.RiskTruncate(,52),_xll.RiskShift(13.565),_xll.RiskName(CONCATENATE("WW Yield-",Model!I1))))</f>
        <v>#NAME?</v>
      </c>
      <c r="Q2" s="7">
        <f>Model!$J$8</f>
        <v>34.622724849999997</v>
      </c>
      <c r="R2" t="e">
        <f ca="1">IF(Model!J83=1,0,RiskValStatic(34.62272485)+_xll.RiskWeibull(1.9674,24.208,_xll.RiskTruncate(,52),_xll.RiskShift(13.565),_xll.RiskName(CONCATENATE("WW Yield-",Model!J1))))</f>
        <v>#NAME?</v>
      </c>
      <c r="S2" s="7">
        <f>Model!$K$8</f>
        <v>34.622724849999997</v>
      </c>
      <c r="T2" t="e">
        <f ca="1">IF(Model!K83=1,0,RiskValStatic(34.62272485)+_xll.RiskWeibull(1.9674,24.208,_xll.RiskTruncate(,52),_xll.RiskShift(13.565),_xll.RiskName(CONCATENATE("WW Yield-",Model!K1))))</f>
        <v>#NAME?</v>
      </c>
      <c r="U2" s="7">
        <f>Model!$L$8</f>
        <v>34.622724849999997</v>
      </c>
      <c r="V2" t="e">
        <f ca="1">IF(Model!L83=1,0,RiskValStatic(34.62272485)+_xll.RiskWeibull(1.9674,24.208,_xll.RiskTruncate(,52),_xll.RiskShift(13.565),_xll.RiskName(CONCATENATE("WW Yield-",Model!L1))))</f>
        <v>#NAME?</v>
      </c>
      <c r="W2" s="7">
        <f>Model!$M$8</f>
        <v>34.622724849999997</v>
      </c>
      <c r="X2" t="e">
        <f ca="1">IF(Model!M83=1,0,RiskValStatic(34.62272485)+_xll.RiskWeibull(1.9674,24.208,_xll.RiskTruncate(,52),_xll.RiskShift(13.565),_xll.RiskName(CONCATENATE("WW Yield-",Model!M1))))</f>
        <v>#NAME?</v>
      </c>
      <c r="Y2" s="7">
        <f>Model!$N$8</f>
        <v>34.622724849999997</v>
      </c>
      <c r="Z2" t="e">
        <f ca="1">IF(Model!N83=1,0,RiskValStatic(34.62272485)+_xll.RiskWeibull(1.9674,24.208,_xll.RiskTruncate(,52),_xll.RiskShift(13.565),_xll.RiskName(CONCATENATE("WW Yield-",Model!N1))))</f>
        <v>#NAME?</v>
      </c>
      <c r="AA2" s="7">
        <f>Model!$O$8</f>
        <v>34.622724849999997</v>
      </c>
      <c r="AB2" t="e">
        <f ca="1">IF(Model!O83=1,0,RiskValStatic(34.62272485)+_xll.RiskWeibull(1.9674,24.208,_xll.RiskTruncate(,52),_xll.RiskShift(13.565),_xll.RiskName(CONCATENATE("WW Yield-",Model!O1))))</f>
        <v>#NAME?</v>
      </c>
      <c r="AC2" s="7">
        <f>Model!$P$8</f>
        <v>34.622724849999997</v>
      </c>
      <c r="AD2" t="e">
        <f ca="1">IF(Model!P83=1,0,RiskValStatic(34.62272485)+_xll.RiskWeibull(1.9674,24.208,_xll.RiskTruncate(,52),_xll.RiskShift(13.565),_xll.RiskName(CONCATENATE("WW Yield-",Model!P1))))</f>
        <v>#NAME?</v>
      </c>
      <c r="AE2" s="7">
        <f>Model!$Q$8</f>
        <v>34.622724849999997</v>
      </c>
      <c r="AF2" t="e">
        <f ca="1">IF(Model!Q83=1,0,RiskValStatic(34.62272485)+_xll.RiskWeibull(1.9674,24.208,_xll.RiskTruncate(,52),_xll.RiskShift(13.565),_xll.RiskName(CONCATENATE("WW Yield-",Model!Q1))))</f>
        <v>#NAME?</v>
      </c>
      <c r="AG2" s="7">
        <f>Model!$R$8</f>
        <v>34.622724849999997</v>
      </c>
      <c r="AH2" t="e">
        <f ca="1">IF(Model!R83=1,0,RiskValStatic(34.62272485)+_xll.RiskWeibull(1.9674,24.208,_xll.RiskTruncate(,52),_xll.RiskShift(13.565),_xll.RiskName(CONCATENATE("WW Yield-",Model!R1))))</f>
        <v>#NAME?</v>
      </c>
      <c r="AI2" s="7">
        <f>Model!$S$8</f>
        <v>34.622724849999997</v>
      </c>
      <c r="AJ2" t="e">
        <f ca="1">IF(Model!S83=1,0,RiskValStatic(34.62272485)+_xll.RiskWeibull(1.9674,24.208,_xll.RiskTruncate(,52),_xll.RiskShift(13.565),_xll.RiskName(CONCATENATE("WW Yield-",Model!S1))))</f>
        <v>#NAME?</v>
      </c>
      <c r="AK2" s="7">
        <f>Model!$T$8</f>
        <v>34.622724849999997</v>
      </c>
      <c r="AL2" t="e">
        <f ca="1">IF(Model!T83=1,0,RiskValStatic(34.62272485)+_xll.RiskWeibull(1.9674,24.208,_xll.RiskTruncate(,52),_xll.RiskShift(13.565),_xll.RiskName(CONCATENATE("WW Yield-",Model!T1))))</f>
        <v>#NAME?</v>
      </c>
      <c r="AM2" s="7">
        <f>Model!$U$8</f>
        <v>34.622724849999997</v>
      </c>
      <c r="AN2" t="e">
        <f ca="1">IF(Model!U83=1,0,RiskValStatic(34.62272485)+_xll.RiskWeibull(1.9674,24.208,_xll.RiskTruncate(,52),_xll.RiskShift(13.565),_xll.RiskName(CONCATENATE("WW Yield-",Model!U1))))</f>
        <v>#NAME?</v>
      </c>
      <c r="AO2" s="7">
        <f>Model!$V$8</f>
        <v>34.622724849999997</v>
      </c>
      <c r="AP2" t="e">
        <f ca="1">IF(Model!V83=1,0,RiskValStatic(34.62272485)+_xll.RiskWeibull(1.9674,24.208,_xll.RiskTruncate(,52),_xll.RiskShift(13.565),_xll.RiskName(CONCATENATE("WW Yield-",Model!V1))))</f>
        <v>#NAME?</v>
      </c>
      <c r="AQ2" s="7">
        <f>Model!$W$8</f>
        <v>34.622724849999997</v>
      </c>
      <c r="AR2" t="e">
        <f ca="1">IF(Model!W83=1,0,RiskValStatic(34.62272485)+_xll.RiskWeibull(1.9674,24.208,_xll.RiskTruncate(,52),_xll.RiskShift(13.565),_xll.RiskName(CONCATENATE("WW Yield-",Model!W1))))</f>
        <v>#NAME?</v>
      </c>
      <c r="AS2" s="7">
        <f>Model!$X$8</f>
        <v>34.622724849999997</v>
      </c>
      <c r="AT2" t="e">
        <f ca="1">IF(Model!X83=1,0,RiskValStatic(34.62272485)+_xll.RiskWeibull(1.9674,24.208,_xll.RiskTruncate(,52),_xll.RiskShift(13.565),_xll.RiskName(CONCATENATE("WW Yield-",Model!X1))))</f>
        <v>#NAME?</v>
      </c>
      <c r="AU2" s="7">
        <f>Model!$Y$8</f>
        <v>34.622724849999997</v>
      </c>
      <c r="AV2" t="e">
        <f ca="1">IF(Model!Y83=1,0,RiskValStatic(34.62272485)+_xll.RiskWeibull(1.9674,24.208,_xll.RiskTruncate(,52),_xll.RiskShift(13.565),_xll.RiskName(CONCATENATE("WW Yield-",Model!Y1))))</f>
        <v>#NAME?</v>
      </c>
      <c r="AW2" s="7">
        <f>Model!$Z$8</f>
        <v>34.622724849999997</v>
      </c>
      <c r="AX2" t="e">
        <f ca="1">IF(Model!Z83=1,0,RiskValStatic(34.62272485)+_xll.RiskWeibull(1.9674,24.208,_xll.RiskTruncate(,52),_xll.RiskShift(13.565),_xll.RiskName(CONCATENATE("WW Yield-",Model!Z1))))</f>
        <v>#NAME?</v>
      </c>
      <c r="AY2" s="7">
        <f>Model!$AA$8</f>
        <v>34.622724849999997</v>
      </c>
      <c r="AZ2" t="e">
        <f ca="1">IF(Model!AA83=1,0,RiskValStatic(34.62272485)+_xll.RiskWeibull(1.9674,24.208,_xll.RiskTruncate(,52),_xll.RiskShift(13.565),_xll.RiskName(CONCATENATE("WW Yield-",Model!AA1))))</f>
        <v>#NAME?</v>
      </c>
      <c r="BA2" s="7">
        <f>Model!$AB$8</f>
        <v>34.622724849999997</v>
      </c>
      <c r="BB2" t="e">
        <f ca="1">IF(Model!AB83=1,0,RiskValStatic(34.62272485)+_xll.RiskWeibull(1.9674,24.208,_xll.RiskTruncate(,52),_xll.RiskShift(13.565),_xll.RiskName(CONCATENATE("WW Yield-",Model!AB1))))</f>
        <v>#NAME?</v>
      </c>
      <c r="BC2" s="7">
        <f>Model!$AC$8</f>
        <v>34.622724849999997</v>
      </c>
      <c r="BD2" t="e">
        <f ca="1">IF(Model!AC83=1,0,RiskValStatic(34.62272485)+_xll.RiskWeibull(1.9674,24.208,_xll.RiskTruncate(,52),_xll.RiskShift(13.565),_xll.RiskName(CONCATENATE("WW Yield-",Model!AC1))))</f>
        <v>#NAME?</v>
      </c>
      <c r="BE2" s="7">
        <f>Model!$AD$8</f>
        <v>34.622724849999997</v>
      </c>
      <c r="BF2" t="e">
        <f ca="1">IF(Model!AD83=1,0,RiskValStatic(34.62272485)+_xll.RiskWeibull(1.9674,24.208,_xll.RiskTruncate(,52),_xll.RiskShift(13.565),_xll.RiskName(CONCATENATE("WW Yield-",Model!AD1))))</f>
        <v>#NAME?</v>
      </c>
      <c r="BG2" s="7">
        <f>Model!$AE$8</f>
        <v>34.622724849999997</v>
      </c>
      <c r="BH2" t="e">
        <f ca="1">IF(Model!AE83=1,0,RiskValStatic(34.62272485)+_xll.RiskWeibull(1.9674,24.208,_xll.RiskTruncate(,52),_xll.RiskShift(13.565),_xll.RiskName(CONCATENATE("WW Yield-",Model!AE1))))</f>
        <v>#NAME?</v>
      </c>
      <c r="BI2" s="2">
        <f>Model!$B$9</f>
        <v>69245.449699999997</v>
      </c>
      <c r="BJ2" t="e">
        <f ca="1">_xll.RiskOutput()+IF(Model!B83=1,0,Model!B8*Model!$F$97)</f>
        <v>#VALUE!</v>
      </c>
      <c r="BK2" s="2">
        <f>Model!$C$9</f>
        <v>69245.449699999997</v>
      </c>
      <c r="BL2" t="e">
        <f ca="1">_xll.RiskOutput()+IF(Model!C83=1,0,Model!C8*Model!$F$97)</f>
        <v>#VALUE!</v>
      </c>
      <c r="BM2" s="2">
        <f>Model!$D$9</f>
        <v>69245.449699999997</v>
      </c>
      <c r="BN2" t="e">
        <f ca="1">_xll.RiskOutput()+IF(Model!D83=1,0,Model!D8*Model!$F$97)</f>
        <v>#VALUE!</v>
      </c>
      <c r="BO2" s="2">
        <f>Model!$E$9</f>
        <v>69245.449699999997</v>
      </c>
      <c r="BP2" t="e">
        <f ca="1">_xll.RiskOutput()+IF(Model!E83=1,0,Model!E8*Model!$F$97)</f>
        <v>#VALUE!</v>
      </c>
      <c r="BQ2" s="2">
        <f>Model!$F$9</f>
        <v>69245.449699999997</v>
      </c>
      <c r="BR2" t="e">
        <f ca="1">_xll.RiskOutput()+IF(Model!F83=1,0,Model!F8*Model!$F$97)</f>
        <v>#VALUE!</v>
      </c>
      <c r="BS2" s="2">
        <f>Model!$G$9</f>
        <v>69245.449699999997</v>
      </c>
      <c r="BT2" t="e">
        <f ca="1">_xll.RiskOutput()+IF(Model!G83=1,0,Model!G8*Model!$F$97)</f>
        <v>#VALUE!</v>
      </c>
      <c r="BU2" s="2">
        <f>Model!$H$9</f>
        <v>69245.449699999997</v>
      </c>
      <c r="BV2" t="e">
        <f ca="1">_xll.RiskOutput()+IF(Model!H83=1,0,Model!H8*Model!$F$97)</f>
        <v>#VALUE!</v>
      </c>
      <c r="BW2" s="2">
        <f>Model!$I$9</f>
        <v>69245.449699999997</v>
      </c>
      <c r="BX2" t="e">
        <f ca="1">_xll.RiskOutput()+IF(Model!I83=1,0,Model!I8*Model!$F$97)</f>
        <v>#VALUE!</v>
      </c>
      <c r="BY2" s="2">
        <f>Model!$J$9</f>
        <v>69245.449699999997</v>
      </c>
      <c r="BZ2" t="e">
        <f ca="1">_xll.RiskOutput()+IF(Model!J83=1,0,Model!J8*Model!$F$97)</f>
        <v>#VALUE!</v>
      </c>
      <c r="CA2" s="2">
        <f>Model!$K$9</f>
        <v>69245.449699999997</v>
      </c>
      <c r="CB2" t="e">
        <f ca="1">_xll.RiskOutput()+IF(Model!K83=1,0,Model!K8*Model!$F$97)</f>
        <v>#VALUE!</v>
      </c>
      <c r="CC2" s="2">
        <f>Model!$L$9</f>
        <v>69245.449699999997</v>
      </c>
      <c r="CD2" t="e">
        <f ca="1">_xll.RiskOutput()+IF(Model!L83=1,0,Model!L8*Model!$F$97)</f>
        <v>#VALUE!</v>
      </c>
      <c r="CE2" s="2">
        <f>Model!$M$9</f>
        <v>69245.449699999997</v>
      </c>
      <c r="CF2" t="e">
        <f ca="1">_xll.RiskOutput()+IF(Model!M83=1,0,Model!M8*Model!$F$97)</f>
        <v>#VALUE!</v>
      </c>
      <c r="CG2" s="2">
        <f>Model!$N$9</f>
        <v>69245.449699999997</v>
      </c>
      <c r="CH2" t="e">
        <f ca="1">_xll.RiskOutput()+IF(Model!N83=1,0,Model!N8*Model!$F$97)</f>
        <v>#VALUE!</v>
      </c>
      <c r="CI2" s="2">
        <f>Model!$O$9</f>
        <v>69245.449699999997</v>
      </c>
      <c r="CJ2" t="e">
        <f ca="1">_xll.RiskOutput()+IF(Model!O83=1,0,Model!O8*Model!$F$97)</f>
        <v>#VALUE!</v>
      </c>
      <c r="CK2" s="2">
        <f>Model!$P$9</f>
        <v>69245.449699999997</v>
      </c>
      <c r="CL2" t="e">
        <f ca="1">_xll.RiskOutput()+IF(Model!P83=1,0,Model!P8*Model!$F$97)</f>
        <v>#VALUE!</v>
      </c>
      <c r="CM2" s="2">
        <f>Model!$Q$9</f>
        <v>69245.449699999997</v>
      </c>
      <c r="CN2" t="e">
        <f ca="1">_xll.RiskOutput()+IF(Model!Q83=1,0,Model!Q8*Model!$F$97)</f>
        <v>#VALUE!</v>
      </c>
      <c r="CO2" s="2">
        <f>Model!$R$9</f>
        <v>69245.449699999997</v>
      </c>
      <c r="CP2" t="e">
        <f ca="1">_xll.RiskOutput()+IF(Model!R83=1,0,Model!R8*Model!$F$97)</f>
        <v>#VALUE!</v>
      </c>
      <c r="CQ2" s="2">
        <f>Model!$S$9</f>
        <v>69245.449699999997</v>
      </c>
      <c r="CR2" t="e">
        <f ca="1">_xll.RiskOutput()+IF(Model!S83=1,0,Model!S8*Model!$F$97)</f>
        <v>#VALUE!</v>
      </c>
      <c r="CS2" s="2">
        <f>Model!$T$9</f>
        <v>69245.449699999997</v>
      </c>
      <c r="CT2" t="e">
        <f ca="1">_xll.RiskOutput()+IF(Model!T83=1,0,Model!T8*Model!$F$97)</f>
        <v>#VALUE!</v>
      </c>
      <c r="CU2" s="2">
        <f>Model!$U$9</f>
        <v>69245.449699999997</v>
      </c>
      <c r="CV2" t="e">
        <f ca="1">_xll.RiskOutput()+IF(Model!U83=1,0,Model!U8*Model!$F$97)</f>
        <v>#VALUE!</v>
      </c>
      <c r="CW2" s="2">
        <f>Model!$V$9</f>
        <v>69245.449699999997</v>
      </c>
      <c r="CX2" t="e">
        <f ca="1">_xll.RiskOutput()+IF(Model!V83=1,0,Model!V8*Model!$F$97)</f>
        <v>#VALUE!</v>
      </c>
      <c r="CY2" s="2">
        <f>Model!$W$9</f>
        <v>69245.449699999997</v>
      </c>
      <c r="CZ2" t="e">
        <f ca="1">_xll.RiskOutput()+IF(Model!W83=1,0,Model!W8*Model!$F$97)</f>
        <v>#VALUE!</v>
      </c>
      <c r="DA2" s="2">
        <f>Model!$X$9</f>
        <v>69245.449699999997</v>
      </c>
      <c r="DB2" t="e">
        <f ca="1">_xll.RiskOutput()+IF(Model!X83=1,0,Model!X8*Model!$F$97)</f>
        <v>#VALUE!</v>
      </c>
      <c r="DC2" s="2">
        <f>Model!$Y$9</f>
        <v>69245.449699999997</v>
      </c>
      <c r="DD2" t="e">
        <f ca="1">_xll.RiskOutput()+IF(Model!Y83=1,0,Model!Y8*Model!$F$97)</f>
        <v>#VALUE!</v>
      </c>
      <c r="DE2" s="2">
        <f>Model!$Z$9</f>
        <v>69245.449699999997</v>
      </c>
      <c r="DF2" t="e">
        <f ca="1">_xll.RiskOutput()+IF(Model!Z83=1,0,Model!Z8*Model!$F$97)</f>
        <v>#VALUE!</v>
      </c>
      <c r="DG2" s="2">
        <f>Model!$AA$9</f>
        <v>69245.449699999997</v>
      </c>
      <c r="DH2" t="e">
        <f ca="1">_xll.RiskOutput()+IF(Model!AA83=1,0,Model!AA8*Model!$F$97)</f>
        <v>#VALUE!</v>
      </c>
      <c r="DI2" s="2">
        <f>Model!$AB$9</f>
        <v>69245.449699999997</v>
      </c>
      <c r="DJ2" t="e">
        <f ca="1">_xll.RiskOutput()+IF(Model!AB83=1,0,Model!AB8*Model!$F$97)</f>
        <v>#VALUE!</v>
      </c>
      <c r="DK2" s="2">
        <f>Model!$AC$9</f>
        <v>69245.449699999997</v>
      </c>
      <c r="DL2" t="e">
        <f ca="1">_xll.RiskOutput()+IF(Model!AC83=1,0,Model!AC8*Model!$F$97)</f>
        <v>#VALUE!</v>
      </c>
      <c r="DM2" s="2">
        <f>Model!$AD$9</f>
        <v>69245.449699999997</v>
      </c>
      <c r="DN2" t="e">
        <f ca="1">_xll.RiskOutput()+IF(Model!AD83=1,0,Model!AD8*Model!$F$97)</f>
        <v>#VALUE!</v>
      </c>
      <c r="DO2" s="2">
        <f>Model!$AE$9</f>
        <v>69245.449699999997</v>
      </c>
      <c r="DP2" t="e">
        <f ca="1">_xll.RiskOutput()+IF(Model!AE83=1,0,Model!AE8*Model!$F$97)</f>
        <v>#VALUE!</v>
      </c>
      <c r="DQ2">
        <f>Model!$B$13</f>
        <v>557425.87008500006</v>
      </c>
      <c r="DR2" t="e">
        <f ca="1">_xll.RiskOutput()+Model!B9*Model!B12</f>
        <v>#VALUE!</v>
      </c>
      <c r="DS2">
        <f>Model!$C$13</f>
        <v>557425.87008500006</v>
      </c>
      <c r="DT2" t="e">
        <f ca="1">_xll.RiskOutput()+Model!C9*Model!C12</f>
        <v>#VALUE!</v>
      </c>
      <c r="DU2">
        <f>Model!$D$13</f>
        <v>557425.87008500006</v>
      </c>
      <c r="DV2" t="e">
        <f ca="1">_xll.RiskOutput()+Model!D9*Model!D12</f>
        <v>#VALUE!</v>
      </c>
      <c r="DW2">
        <f>Model!$E$13</f>
        <v>557425.87008500006</v>
      </c>
      <c r="DX2" t="e">
        <f ca="1">_xll.RiskOutput()+Model!E9*Model!E12</f>
        <v>#VALUE!</v>
      </c>
      <c r="DY2">
        <f>Model!$F$13</f>
        <v>557425.87008500006</v>
      </c>
      <c r="DZ2" t="e">
        <f ca="1">_xll.RiskOutput()+Model!F9*Model!F12</f>
        <v>#VALUE!</v>
      </c>
      <c r="EA2">
        <f>Model!$G$13</f>
        <v>557425.87008500006</v>
      </c>
      <c r="EB2" t="e">
        <f ca="1">_xll.RiskOutput()+Model!G9*Model!G12</f>
        <v>#VALUE!</v>
      </c>
      <c r="EC2">
        <f>Model!$H$13</f>
        <v>557425.87008500006</v>
      </c>
      <c r="ED2" t="e">
        <f ca="1">_xll.RiskOutput()+Model!H9*Model!H12</f>
        <v>#VALUE!</v>
      </c>
      <c r="EE2">
        <f>Model!$I$13</f>
        <v>557425.87008500006</v>
      </c>
      <c r="EF2" t="e">
        <f ca="1">_xll.RiskOutput()+Model!I9*Model!I12</f>
        <v>#VALUE!</v>
      </c>
      <c r="EG2">
        <f>Model!$J$13</f>
        <v>557425.87008500006</v>
      </c>
      <c r="EH2" t="e">
        <f ca="1">_xll.RiskOutput()+Model!J9*Model!J12</f>
        <v>#VALUE!</v>
      </c>
      <c r="EI2">
        <f>Model!$K$13</f>
        <v>557425.87008500006</v>
      </c>
      <c r="EJ2" t="e">
        <f ca="1">_xll.RiskOutput()+Model!K9*Model!K12</f>
        <v>#VALUE!</v>
      </c>
      <c r="EK2">
        <f>Model!$L$13</f>
        <v>557425.87008500006</v>
      </c>
      <c r="EL2" t="e">
        <f ca="1">_xll.RiskOutput()+Model!L9*Model!L12</f>
        <v>#VALUE!</v>
      </c>
      <c r="EM2">
        <f>Model!$M$13</f>
        <v>557425.87008500006</v>
      </c>
      <c r="EN2" t="e">
        <f ca="1">_xll.RiskOutput()+Model!M9*Model!M12</f>
        <v>#VALUE!</v>
      </c>
      <c r="EO2">
        <f>Model!$N$13</f>
        <v>557425.87008500006</v>
      </c>
      <c r="EP2" t="e">
        <f ca="1">_xll.RiskOutput()+Model!N9*Model!N12</f>
        <v>#VALUE!</v>
      </c>
      <c r="EQ2">
        <f>Model!$O$13</f>
        <v>557425.87008500006</v>
      </c>
      <c r="ER2" t="e">
        <f ca="1">_xll.RiskOutput()+Model!O9*Model!O12</f>
        <v>#VALUE!</v>
      </c>
      <c r="ES2">
        <f>Model!$P$13</f>
        <v>557425.87008500006</v>
      </c>
      <c r="ET2" t="e">
        <f ca="1">_xll.RiskOutput()+Model!P9*Model!P12</f>
        <v>#VALUE!</v>
      </c>
      <c r="EU2">
        <f>Model!$Q$13</f>
        <v>557425.87008500006</v>
      </c>
      <c r="EV2" t="e">
        <f ca="1">_xll.RiskOutput()+Model!Q9*Model!Q12</f>
        <v>#VALUE!</v>
      </c>
      <c r="EW2">
        <f>Model!$R$13</f>
        <v>557425.87008500006</v>
      </c>
      <c r="EX2" t="e">
        <f ca="1">_xll.RiskOutput()+Model!R9*Model!R12</f>
        <v>#VALUE!</v>
      </c>
      <c r="EY2">
        <f>Model!$S$13</f>
        <v>557425.87008500006</v>
      </c>
      <c r="EZ2" t="e">
        <f ca="1">_xll.RiskOutput()+Model!S9*Model!S12</f>
        <v>#VALUE!</v>
      </c>
      <c r="FA2">
        <f>Model!$T$13</f>
        <v>557425.87008500006</v>
      </c>
      <c r="FB2" t="e">
        <f ca="1">_xll.RiskOutput()+Model!T9*Model!T12</f>
        <v>#VALUE!</v>
      </c>
      <c r="FC2">
        <f>Model!$U$13</f>
        <v>557425.87008500006</v>
      </c>
      <c r="FD2" t="e">
        <f ca="1">_xll.RiskOutput()+Model!U9*Model!U12</f>
        <v>#VALUE!</v>
      </c>
      <c r="FE2">
        <f>Model!$V$13</f>
        <v>557425.87008500006</v>
      </c>
      <c r="FF2" t="e">
        <f ca="1">_xll.RiskOutput()+Model!V9*Model!V12</f>
        <v>#VALUE!</v>
      </c>
      <c r="FG2">
        <f>Model!$W$13</f>
        <v>557425.87008500006</v>
      </c>
      <c r="FH2" t="e">
        <f ca="1">_xll.RiskOutput()+Model!W9*Model!W12</f>
        <v>#VALUE!</v>
      </c>
      <c r="FI2">
        <f>Model!$X$13</f>
        <v>557425.87008500006</v>
      </c>
      <c r="FJ2" t="e">
        <f ca="1">_xll.RiskOutput()+Model!X9*Model!X12</f>
        <v>#VALUE!</v>
      </c>
      <c r="FK2">
        <f>Model!$Y$13</f>
        <v>557425.87008500006</v>
      </c>
      <c r="FL2" t="e">
        <f ca="1">_xll.RiskOutput()+Model!Y9*Model!Y12</f>
        <v>#VALUE!</v>
      </c>
      <c r="FM2">
        <f>Model!$Z$13</f>
        <v>557425.87008500006</v>
      </c>
      <c r="FN2" t="e">
        <f ca="1">_xll.RiskOutput()+Model!Z9*Model!Z12</f>
        <v>#VALUE!</v>
      </c>
      <c r="FO2">
        <f>Model!$AA$13</f>
        <v>557425.87008500006</v>
      </c>
      <c r="FP2" t="e">
        <f ca="1">_xll.RiskOutput()+Model!AA9*Model!AA12</f>
        <v>#VALUE!</v>
      </c>
      <c r="FQ2">
        <f>Model!$AB$13</f>
        <v>557425.87008500006</v>
      </c>
      <c r="FR2" t="e">
        <f ca="1">_xll.RiskOutput()+Model!AB9*Model!AB12</f>
        <v>#VALUE!</v>
      </c>
      <c r="FS2">
        <f>Model!$AC$13</f>
        <v>557425.87008500006</v>
      </c>
      <c r="FT2" t="e">
        <f ca="1">_xll.RiskOutput()+Model!AC9*Model!AC12</f>
        <v>#VALUE!</v>
      </c>
      <c r="FU2">
        <f>Model!$AD$13</f>
        <v>557425.87008500006</v>
      </c>
      <c r="FV2" t="e">
        <f ca="1">_xll.RiskOutput()+Model!AD9*Model!AD12</f>
        <v>#VALUE!</v>
      </c>
      <c r="FW2">
        <f>Model!$AE$13</f>
        <v>557425.87008500006</v>
      </c>
      <c r="FX2" t="e">
        <f ca="1">_xll.RiskOutput()+Model!AE9*Model!AE12</f>
        <v>#VALUE!</v>
      </c>
      <c r="FY2" s="7">
        <f>Model!$B$17</f>
        <v>26.94486599</v>
      </c>
      <c r="FZ2" t="e">
        <f ca="1">IF(Model!B85=1,0,RiskValStatic(26.94486599)+_xll.RiskWeibull(3.0648,28.044,_xll.RiskTruncate(0,50),_xll.RiskShift(1.9548),_xll.RiskName(CONCATENATE("SW Yield-",Model!B1))))</f>
        <v>#NAME?</v>
      </c>
      <c r="GA2" s="7">
        <f>Model!$C$17</f>
        <v>26.94486599</v>
      </c>
      <c r="GB2" t="e">
        <f ca="1">IF(Model!C85=1,0,RiskValStatic(26.94486599)+_xll.RiskWeibull(3.0648,28.044,_xll.RiskTruncate(0,50),_xll.RiskShift(1.9548),_xll.RiskName(CONCATENATE("SW Yield-",Model!C1))))</f>
        <v>#NAME?</v>
      </c>
      <c r="GC2" s="7">
        <f>Model!$D$17</f>
        <v>26.94486599</v>
      </c>
      <c r="GD2" t="e">
        <f ca="1">IF(Model!D85=1,0,RiskValStatic(26.94486599)+_xll.RiskWeibull(3.0648,28.044,_xll.RiskTruncate(0,50),_xll.RiskShift(1.9548),_xll.RiskName(CONCATENATE("SW Yield-",Model!D1))))</f>
        <v>#NAME?</v>
      </c>
      <c r="GE2" s="7">
        <f>Model!$E$17</f>
        <v>26.94486599</v>
      </c>
      <c r="GF2" t="e">
        <f ca="1">IF(Model!E85=1,0,RiskValStatic(26.94486599)+_xll.RiskWeibull(3.0648,28.044,_xll.RiskTruncate(0,50),_xll.RiskShift(1.9548),_xll.RiskName(CONCATENATE("SW Yield-",Model!E1))))</f>
        <v>#NAME?</v>
      </c>
      <c r="GG2" s="7">
        <f>Model!$F$17</f>
        <v>26.94486599</v>
      </c>
      <c r="GH2" t="e">
        <f ca="1">IF(Model!F85=1,0,RiskValStatic(26.94486599)+_xll.RiskWeibull(3.0648,28.044,_xll.RiskTruncate(0,50),_xll.RiskShift(1.9548),_xll.RiskName(CONCATENATE("SW Yield-",Model!F1))))</f>
        <v>#NAME?</v>
      </c>
      <c r="GI2" s="7">
        <f>Model!$G$17</f>
        <v>26.94486599</v>
      </c>
      <c r="GJ2" t="e">
        <f ca="1">IF(Model!G85=1,0,RiskValStatic(26.94486599)+_xll.RiskWeibull(3.0648,28.044,_xll.RiskTruncate(0,50),_xll.RiskShift(1.9548),_xll.RiskName(CONCATENATE("SW Yield-",Model!G1))))</f>
        <v>#NAME?</v>
      </c>
      <c r="GK2" s="7">
        <f>Model!$H$17</f>
        <v>26.94486599</v>
      </c>
      <c r="GL2" t="e">
        <f ca="1">IF(Model!H85=1,0,RiskValStatic(26.94486599)+_xll.RiskWeibull(3.0648,28.044,_xll.RiskTruncate(0,50),_xll.RiskShift(1.9548),_xll.RiskName(CONCATENATE("SW Yield-",Model!H1))))</f>
        <v>#NAME?</v>
      </c>
      <c r="GM2" s="7">
        <f>Model!$I$17</f>
        <v>26.94486599</v>
      </c>
      <c r="GN2" t="e">
        <f ca="1">IF(Model!I85=1,0,RiskValStatic(26.94486599)+_xll.RiskWeibull(3.0648,28.044,_xll.RiskTruncate(0,50),_xll.RiskShift(1.9548),_xll.RiskName(CONCATENATE("SW Yield-",Model!I1))))</f>
        <v>#NAME?</v>
      </c>
      <c r="GO2" s="7">
        <f>Model!$J$17</f>
        <v>26.94486599</v>
      </c>
      <c r="GP2" t="e">
        <f ca="1">IF(Model!J85=1,0,RiskValStatic(26.94486599)+_xll.RiskWeibull(3.0648,28.044,_xll.RiskTruncate(0,50),_xll.RiskShift(1.9548),_xll.RiskName(CONCATENATE("SW Yield-",Model!J1))))</f>
        <v>#NAME?</v>
      </c>
      <c r="GQ2" s="7">
        <f>Model!$K$17</f>
        <v>26.94486599</v>
      </c>
      <c r="GR2" t="e">
        <f ca="1">IF(Model!K85=1,0,RiskValStatic(26.94486599)+_xll.RiskWeibull(3.0648,28.044,_xll.RiskTruncate(0,50),_xll.RiskShift(1.9548),_xll.RiskName(CONCATENATE("SW Yield-",Model!K1))))</f>
        <v>#NAME?</v>
      </c>
      <c r="GS2" s="7">
        <f>Model!$L$17</f>
        <v>26.94486599</v>
      </c>
      <c r="GT2" t="e">
        <f ca="1">IF(Model!L85=1,0,RiskValStatic(26.94486599)+_xll.RiskWeibull(3.0648,28.044,_xll.RiskTruncate(0,50),_xll.RiskShift(1.9548),_xll.RiskName(CONCATENATE("SW Yield-",Model!L1))))</f>
        <v>#NAME?</v>
      </c>
      <c r="GU2" s="7">
        <f>Model!$M$17</f>
        <v>26.94486599</v>
      </c>
      <c r="GV2" t="e">
        <f ca="1">IF(Model!M85=1,0,RiskValStatic(26.94486599)+_xll.RiskWeibull(3.0648,28.044,_xll.RiskTruncate(0,50),_xll.RiskShift(1.9548),_xll.RiskName(CONCATENATE("SW Yield-",Model!M1))))</f>
        <v>#NAME?</v>
      </c>
      <c r="GW2" s="7">
        <f>Model!$N$17</f>
        <v>26.94486599</v>
      </c>
      <c r="GX2" t="e">
        <f ca="1">IF(Model!N85=1,0,RiskValStatic(26.94486599)+_xll.RiskWeibull(3.0648,28.044,_xll.RiskTruncate(0,50),_xll.RiskShift(1.9548),_xll.RiskName(CONCATENATE("SW Yield-",Model!N1))))</f>
        <v>#NAME?</v>
      </c>
      <c r="GY2" s="7">
        <f>Model!$O$17</f>
        <v>26.94486599</v>
      </c>
      <c r="GZ2" t="e">
        <f ca="1">IF(Model!O85=1,0,RiskValStatic(26.94486599)+_xll.RiskWeibull(3.0648,28.044,_xll.RiskTruncate(0,50),_xll.RiskShift(1.9548),_xll.RiskName(CONCATENATE("SW Yield-",Model!O1))))</f>
        <v>#NAME?</v>
      </c>
      <c r="HA2" s="7">
        <f>Model!$P$17</f>
        <v>26.94486599</v>
      </c>
      <c r="HB2" t="e">
        <f ca="1">IF(Model!P85=1,0,RiskValStatic(26.94486599)+_xll.RiskWeibull(3.0648,28.044,_xll.RiskTruncate(0,50),_xll.RiskShift(1.9548),_xll.RiskName(CONCATENATE("SW Yield-",Model!P1))))</f>
        <v>#NAME?</v>
      </c>
      <c r="HC2" s="7">
        <f>Model!$Q$17</f>
        <v>26.94486599</v>
      </c>
      <c r="HD2" t="e">
        <f ca="1">IF(Model!Q85=1,0,RiskValStatic(26.94486599)+_xll.RiskWeibull(3.0648,28.044,_xll.RiskTruncate(0,50),_xll.RiskShift(1.9548),_xll.RiskName(CONCATENATE("SW Yield-",Model!Q1))))</f>
        <v>#NAME?</v>
      </c>
      <c r="HE2" s="7">
        <f>Model!$R$17</f>
        <v>26.94486599</v>
      </c>
      <c r="HF2" t="e">
        <f ca="1">IF(Model!R85=1,0,RiskValStatic(26.94486599)+_xll.RiskWeibull(3.0648,28.044,_xll.RiskTruncate(0,50),_xll.RiskShift(1.9548),_xll.RiskName(CONCATENATE("SW Yield-",Model!R1))))</f>
        <v>#NAME?</v>
      </c>
      <c r="HG2" s="7">
        <f>Model!$S$17</f>
        <v>26.94486599</v>
      </c>
      <c r="HH2" t="e">
        <f ca="1">IF(Model!S85=1,0,RiskValStatic(26.94486599)+_xll.RiskWeibull(3.0648,28.044,_xll.RiskTruncate(0,50),_xll.RiskShift(1.9548),_xll.RiskName(CONCATENATE("SW Yield-",Model!S1))))</f>
        <v>#NAME?</v>
      </c>
      <c r="HI2" s="7">
        <f>Model!$T$17</f>
        <v>26.94486599</v>
      </c>
      <c r="HJ2" t="e">
        <f ca="1">IF(Model!T85=1,0,RiskValStatic(26.94486599)+_xll.RiskWeibull(3.0648,28.044,_xll.RiskTruncate(0,50),_xll.RiskShift(1.9548),_xll.RiskName(CONCATENATE("SW Yield-",Model!T1))))</f>
        <v>#NAME?</v>
      </c>
      <c r="HK2" s="7">
        <f>Model!$U$17</f>
        <v>26.94486599</v>
      </c>
      <c r="HL2" t="e">
        <f ca="1">IF(Model!U85=1,0,RiskValStatic(26.94486599)+_xll.RiskWeibull(3.0648,28.044,_xll.RiskTruncate(0,50),_xll.RiskShift(1.9548),_xll.RiskName(CONCATENATE("SW Yield-",Model!U1))))</f>
        <v>#NAME?</v>
      </c>
      <c r="HM2" s="7">
        <f>Model!$V$17</f>
        <v>26.94486599</v>
      </c>
      <c r="HN2" t="e">
        <f ca="1">IF(Model!V85=1,0,RiskValStatic(26.94486599)+_xll.RiskWeibull(3.0648,28.044,_xll.RiskTruncate(0,50),_xll.RiskShift(1.9548),_xll.RiskName(CONCATENATE("SW Yield-",Model!V1))))</f>
        <v>#NAME?</v>
      </c>
      <c r="HO2" s="7">
        <f>Model!$W$17</f>
        <v>26.94486599</v>
      </c>
      <c r="HP2" t="e">
        <f ca="1">IF(Model!W85=1,0,RiskValStatic(26.94486599)+_xll.RiskWeibull(3.0648,28.044,_xll.RiskTruncate(0,50),_xll.RiskShift(1.9548),_xll.RiskName(CONCATENATE("SW Yield-",Model!W1))))</f>
        <v>#NAME?</v>
      </c>
      <c r="HQ2" s="7">
        <f>Model!$X$17</f>
        <v>26.94486599</v>
      </c>
      <c r="HR2" t="e">
        <f ca="1">IF(Model!X85=1,0,RiskValStatic(26.94486599)+_xll.RiskWeibull(3.0648,28.044,_xll.RiskTruncate(0,50),_xll.RiskShift(1.9548),_xll.RiskName(CONCATENATE("SW Yield-",Model!X1))))</f>
        <v>#NAME?</v>
      </c>
      <c r="HS2" s="7">
        <f>Model!$Y$17</f>
        <v>26.94486599</v>
      </c>
      <c r="HT2" t="e">
        <f ca="1">IF(Model!Y85=1,0,RiskValStatic(26.94486599)+_xll.RiskWeibull(3.0648,28.044,_xll.RiskTruncate(0,50),_xll.RiskShift(1.9548),_xll.RiskName(CONCATENATE("SW Yield-",Model!Y1))))</f>
        <v>#NAME?</v>
      </c>
      <c r="HU2" s="7">
        <f>Model!$Z$17</f>
        <v>26.94486599</v>
      </c>
      <c r="HV2" t="e">
        <f ca="1">IF(Model!Z85=1,0,RiskValStatic(26.94486599)+_xll.RiskWeibull(3.0648,28.044,_xll.RiskTruncate(0,50),_xll.RiskShift(1.9548),_xll.RiskName(CONCATENATE("SW Yield-",Model!Z1))))</f>
        <v>#NAME?</v>
      </c>
      <c r="HW2" s="7">
        <f>Model!$AA$17</f>
        <v>26.94486599</v>
      </c>
      <c r="HX2" t="e">
        <f ca="1">IF(Model!AA85=1,0,RiskValStatic(26.94486599)+_xll.RiskWeibull(3.0648,28.044,_xll.RiskTruncate(0,50),_xll.RiskShift(1.9548),_xll.RiskName(CONCATENATE("SW Yield-",Model!AA1))))</f>
        <v>#NAME?</v>
      </c>
      <c r="HY2" s="7">
        <f>Model!$AB$17</f>
        <v>26.94486599</v>
      </c>
      <c r="HZ2" t="e">
        <f ca="1">IF(Model!AB85=1,0,RiskValStatic(26.94486599)+_xll.RiskWeibull(3.0648,28.044,_xll.RiskTruncate(0,50),_xll.RiskShift(1.9548),_xll.RiskName(CONCATENATE("SW Yield-",Model!AB1))))</f>
        <v>#NAME?</v>
      </c>
      <c r="IA2" s="7">
        <f>Model!$AC$17</f>
        <v>26.94486599</v>
      </c>
      <c r="IB2" t="e">
        <f ca="1">IF(Model!AC85=1,0,RiskValStatic(26.94486599)+_xll.RiskWeibull(3.0648,28.044,_xll.RiskTruncate(0,50),_xll.RiskShift(1.9548),_xll.RiskName(CONCATENATE("SW Yield-",Model!AC1))))</f>
        <v>#NAME?</v>
      </c>
      <c r="IC2" s="7">
        <f>Model!$AD$17</f>
        <v>26.94486599</v>
      </c>
      <c r="ID2" t="e">
        <f ca="1">IF(Model!AD85=1,0,RiskValStatic(26.94486599)+_xll.RiskWeibull(3.0648,28.044,_xll.RiskTruncate(0,50),_xll.RiskShift(1.9548),_xll.RiskName(CONCATENATE("SW Yield-",Model!AD1))))</f>
        <v>#NAME?</v>
      </c>
      <c r="IE2" s="7">
        <f>Model!$AE$17</f>
        <v>26.94486599</v>
      </c>
      <c r="IF2" t="e">
        <f ca="1">IF(Model!AE85=1,0,RiskValStatic(26.94486599)+_xll.RiskWeibull(3.0648,28.044,_xll.RiskTruncate(0,50),_xll.RiskShift(1.9548),_xll.RiskName(CONCATENATE("SW Yield-",Model!AE1))))</f>
        <v>#NAME?</v>
      </c>
      <c r="IG2" s="2">
        <f>Model!$B$18</f>
        <v>53889.731980000004</v>
      </c>
      <c r="IH2" t="e">
        <f ca="1">_xll.RiskOutput()+IF(Model!B85=1,0,Model!B17*Model!$F$97)</f>
        <v>#VALUE!</v>
      </c>
      <c r="II2" s="2">
        <f>Model!$C$18</f>
        <v>53889.731980000004</v>
      </c>
      <c r="IJ2" t="e">
        <f ca="1">_xll.RiskOutput()+IF(Model!C85=1,0,Model!C17*Model!$F$97)</f>
        <v>#VALUE!</v>
      </c>
      <c r="IK2" s="2">
        <f>Model!$D$18</f>
        <v>53889.731980000004</v>
      </c>
      <c r="IL2" t="e">
        <f ca="1">_xll.RiskOutput()+IF(Model!D85=1,0,Model!D17*Model!$F$97)</f>
        <v>#VALUE!</v>
      </c>
      <c r="IM2" s="2">
        <f>Model!$E$18</f>
        <v>53889.731980000004</v>
      </c>
      <c r="IN2" t="e">
        <f ca="1">_xll.RiskOutput()+IF(Model!E85=1,0,Model!E17*Model!$F$97)</f>
        <v>#VALUE!</v>
      </c>
      <c r="IO2" s="2">
        <f>Model!$F$18</f>
        <v>53889.731980000004</v>
      </c>
      <c r="IP2" t="e">
        <f ca="1">_xll.RiskOutput()+IF(Model!F85=1,0,Model!F17*Model!$F$97)</f>
        <v>#VALUE!</v>
      </c>
      <c r="IQ2" s="2">
        <f>Model!$G$18</f>
        <v>53889.731980000004</v>
      </c>
      <c r="IR2" t="e">
        <f ca="1">_xll.RiskOutput()+IF(Model!G85=1,0,Model!G17*Model!$F$97)</f>
        <v>#VALUE!</v>
      </c>
      <c r="IS2" s="2">
        <f>Model!$H$18</f>
        <v>53889.731980000004</v>
      </c>
      <c r="IT2" t="e">
        <f ca="1">_xll.RiskOutput()+IF(Model!H85=1,0,Model!H17*Model!$F$97)</f>
        <v>#VALUE!</v>
      </c>
      <c r="IU2" s="2">
        <f>Model!$I$18</f>
        <v>53889.731980000004</v>
      </c>
      <c r="IV2" t="e">
        <f ca="1">_xll.RiskOutput()+IF(Model!I85=1,0,Model!I17*Model!$F$97)</f>
        <v>#VALUE!</v>
      </c>
      <c r="IW2" s="2">
        <f>Model!$J$18</f>
        <v>53889.731980000004</v>
      </c>
      <c r="IX2" t="e">
        <f ca="1">_xll.RiskOutput()+IF(Model!J85=1,0,Model!J17*Model!$F$97)</f>
        <v>#VALUE!</v>
      </c>
      <c r="IY2" s="2">
        <f>Model!$K$18</f>
        <v>53889.731980000004</v>
      </c>
      <c r="IZ2" t="e">
        <f ca="1">_xll.RiskOutput()+IF(Model!K85=1,0,Model!K17*Model!$F$97)</f>
        <v>#VALUE!</v>
      </c>
      <c r="JA2" s="2">
        <f>Model!$L$18</f>
        <v>53889.731980000004</v>
      </c>
      <c r="JB2" t="e">
        <f ca="1">_xll.RiskOutput()+IF(Model!L85=1,0,Model!L17*Model!$F$97)</f>
        <v>#VALUE!</v>
      </c>
      <c r="JC2" s="2">
        <f>Model!$M$18</f>
        <v>53889.731980000004</v>
      </c>
      <c r="JD2" t="e">
        <f ca="1">_xll.RiskOutput()+IF(Model!M85=1,0,Model!M17*Model!$F$97)</f>
        <v>#VALUE!</v>
      </c>
      <c r="JE2" s="2">
        <f>Model!$N$18</f>
        <v>53889.731980000004</v>
      </c>
      <c r="JF2" t="e">
        <f ca="1">_xll.RiskOutput()+IF(Model!N85=1,0,Model!N17*Model!$F$97)</f>
        <v>#VALUE!</v>
      </c>
      <c r="JG2" s="2">
        <f>Model!$O$18</f>
        <v>53889.731980000004</v>
      </c>
      <c r="JH2" t="e">
        <f ca="1">_xll.RiskOutput()+IF(Model!O85=1,0,Model!O17*Model!$F$97)</f>
        <v>#VALUE!</v>
      </c>
      <c r="JI2" s="2">
        <f>Model!$P$18</f>
        <v>53889.731980000004</v>
      </c>
      <c r="JJ2" t="e">
        <f ca="1">_xll.RiskOutput()+IF(Model!P85=1,0,Model!P17*Model!$F$97)</f>
        <v>#VALUE!</v>
      </c>
      <c r="JK2" s="2">
        <f>Model!$Q$18</f>
        <v>53889.731980000004</v>
      </c>
      <c r="JL2" t="e">
        <f ca="1">_xll.RiskOutput()+IF(Model!Q85=1,0,Model!Q17*Model!$F$97)</f>
        <v>#VALUE!</v>
      </c>
      <c r="JM2" s="2">
        <f>Model!$R$18</f>
        <v>53889.731980000004</v>
      </c>
      <c r="JN2" t="e">
        <f ca="1">_xll.RiskOutput()+IF(Model!R85=1,0,Model!R17*Model!$F$97)</f>
        <v>#VALUE!</v>
      </c>
      <c r="JO2" s="2">
        <f>Model!$S$18</f>
        <v>53889.731980000004</v>
      </c>
      <c r="JP2" t="e">
        <f ca="1">_xll.RiskOutput()+IF(Model!S85=1,0,Model!S17*Model!$F$97)</f>
        <v>#VALUE!</v>
      </c>
      <c r="JQ2" s="2">
        <f>Model!$T$18</f>
        <v>53889.731980000004</v>
      </c>
      <c r="JR2" t="e">
        <f ca="1">_xll.RiskOutput()+IF(Model!T85=1,0,Model!T17*Model!$F$97)</f>
        <v>#VALUE!</v>
      </c>
      <c r="JS2" s="2">
        <f>Model!$U$18</f>
        <v>53889.731980000004</v>
      </c>
      <c r="JT2" t="e">
        <f ca="1">_xll.RiskOutput()+IF(Model!U85=1,0,Model!U17*Model!$F$97)</f>
        <v>#VALUE!</v>
      </c>
      <c r="JU2" s="2">
        <f>Model!$V$18</f>
        <v>53889.731980000004</v>
      </c>
      <c r="JV2" t="e">
        <f ca="1">_xll.RiskOutput()+IF(Model!V85=1,0,Model!V17*Model!$F$97)</f>
        <v>#VALUE!</v>
      </c>
      <c r="JW2" s="2">
        <f>Model!$W$18</f>
        <v>53889.731980000004</v>
      </c>
      <c r="JX2" t="e">
        <f ca="1">_xll.RiskOutput()+IF(Model!W85=1,0,Model!W17*Model!$F$97)</f>
        <v>#VALUE!</v>
      </c>
      <c r="JY2" s="2">
        <f>Model!$X$18</f>
        <v>53889.731980000004</v>
      </c>
      <c r="JZ2" t="e">
        <f ca="1">_xll.RiskOutput()+IF(Model!X85=1,0,Model!X17*Model!$F$97)</f>
        <v>#VALUE!</v>
      </c>
      <c r="KA2" s="2">
        <f>Model!$Y$18</f>
        <v>53889.731980000004</v>
      </c>
      <c r="KB2" t="e">
        <f ca="1">_xll.RiskOutput()+IF(Model!Y85=1,0,Model!Y17*Model!$F$97)</f>
        <v>#VALUE!</v>
      </c>
      <c r="KC2" s="2">
        <f>Model!$Z$18</f>
        <v>53889.731980000004</v>
      </c>
      <c r="KD2" t="e">
        <f ca="1">_xll.RiskOutput()+IF(Model!Z85=1,0,Model!Z17*Model!$F$97)</f>
        <v>#VALUE!</v>
      </c>
      <c r="KE2" s="2">
        <f>Model!$AA$18</f>
        <v>53889.731980000004</v>
      </c>
      <c r="KF2" t="e">
        <f ca="1">_xll.RiskOutput()+IF(Model!AA85=1,0,Model!AA17*Model!$F$97)</f>
        <v>#VALUE!</v>
      </c>
      <c r="KG2" s="2">
        <f>Model!$AB$18</f>
        <v>53889.731980000004</v>
      </c>
      <c r="KH2" t="e">
        <f ca="1">_xll.RiskOutput()+IF(Model!AB85=1,0,Model!AB17*Model!$F$97)</f>
        <v>#VALUE!</v>
      </c>
      <c r="KI2" s="2">
        <f>Model!$AC$18</f>
        <v>53889.731980000004</v>
      </c>
      <c r="KJ2" t="e">
        <f ca="1">_xll.RiskOutput()+IF(Model!AC85=1,0,Model!AC17*Model!$F$97)</f>
        <v>#VALUE!</v>
      </c>
      <c r="KK2" s="2">
        <f>Model!$AD$18</f>
        <v>53889.731980000004</v>
      </c>
      <c r="KL2" t="e">
        <f ca="1">_xll.RiskOutput()+IF(Model!AD85=1,0,Model!AD17*Model!$F$97)</f>
        <v>#VALUE!</v>
      </c>
      <c r="KM2" s="2">
        <f>Model!$AE$18</f>
        <v>53889.731980000004</v>
      </c>
      <c r="KN2" t="e">
        <f ca="1">_xll.RiskOutput()+IF(Model!AE85=1,0,Model!AE17*Model!$F$97)</f>
        <v>#VALUE!</v>
      </c>
      <c r="KO2">
        <f>Model!$B$21</f>
        <v>473151.8467844</v>
      </c>
      <c r="KP2" t="e">
        <f ca="1">_xll.RiskOutput()+Model!B20*Model!B18</f>
        <v>#VALUE!</v>
      </c>
      <c r="KQ2">
        <f>Model!$C$21</f>
        <v>473151.8467844</v>
      </c>
      <c r="KR2" t="e">
        <f ca="1">_xll.RiskOutput()+Model!C20*Model!C18</f>
        <v>#VALUE!</v>
      </c>
      <c r="KS2">
        <f>Model!$D$21</f>
        <v>473151.8467844</v>
      </c>
      <c r="KT2" t="e">
        <f ca="1">_xll.RiskOutput()+Model!D20*Model!D18</f>
        <v>#VALUE!</v>
      </c>
      <c r="KU2">
        <f>Model!$E$21</f>
        <v>473151.8467844</v>
      </c>
      <c r="KV2" t="e">
        <f ca="1">_xll.RiskOutput()+Model!E20*Model!E18</f>
        <v>#VALUE!</v>
      </c>
      <c r="KW2">
        <f>Model!$F$21</f>
        <v>473151.8467844</v>
      </c>
      <c r="KX2" t="e">
        <f ca="1">_xll.RiskOutput()+Model!F20*Model!F18</f>
        <v>#VALUE!</v>
      </c>
      <c r="KY2">
        <f>Model!$G$21</f>
        <v>473151.8467844</v>
      </c>
      <c r="KZ2" t="e">
        <f ca="1">_xll.RiskOutput()+Model!G20*Model!G18</f>
        <v>#VALUE!</v>
      </c>
      <c r="LA2">
        <f>Model!$H$21</f>
        <v>473151.8467844</v>
      </c>
      <c r="LB2" t="e">
        <f ca="1">_xll.RiskOutput()+Model!H20*Model!H18</f>
        <v>#VALUE!</v>
      </c>
      <c r="LC2">
        <f>Model!$I$21</f>
        <v>473151.8467844</v>
      </c>
      <c r="LD2" t="e">
        <f ca="1">_xll.RiskOutput()+Model!I20*Model!I18</f>
        <v>#VALUE!</v>
      </c>
      <c r="LE2">
        <f>Model!$J$21</f>
        <v>473151.8467844</v>
      </c>
      <c r="LF2" t="e">
        <f ca="1">_xll.RiskOutput()+Model!J20*Model!J18</f>
        <v>#VALUE!</v>
      </c>
      <c r="LG2">
        <f>Model!$K$21</f>
        <v>473151.8467844</v>
      </c>
      <c r="LH2" t="e">
        <f ca="1">_xll.RiskOutput()+Model!K20*Model!K18</f>
        <v>#VALUE!</v>
      </c>
      <c r="LI2">
        <f>Model!$L$21</f>
        <v>473151.8467844</v>
      </c>
      <c r="LJ2" t="e">
        <f ca="1">_xll.RiskOutput()+Model!L20*Model!L18</f>
        <v>#VALUE!</v>
      </c>
      <c r="LK2">
        <f>Model!$M$21</f>
        <v>473151.8467844</v>
      </c>
      <c r="LL2" t="e">
        <f ca="1">_xll.RiskOutput()+Model!M20*Model!M18</f>
        <v>#VALUE!</v>
      </c>
      <c r="LM2">
        <f>Model!$N$21</f>
        <v>473151.8467844</v>
      </c>
      <c r="LN2" t="e">
        <f ca="1">_xll.RiskOutput()+Model!N20*Model!N18</f>
        <v>#VALUE!</v>
      </c>
      <c r="LO2">
        <f>Model!$O$21</f>
        <v>473151.8467844</v>
      </c>
      <c r="LP2" t="e">
        <f ca="1">_xll.RiskOutput()+Model!O20*Model!O18</f>
        <v>#VALUE!</v>
      </c>
      <c r="LQ2">
        <f>Model!$P$21</f>
        <v>473151.8467844</v>
      </c>
      <c r="LR2" t="e">
        <f ca="1">_xll.RiskOutput()+Model!P20*Model!P18</f>
        <v>#VALUE!</v>
      </c>
      <c r="LS2">
        <f>Model!$Q$21</f>
        <v>473151.8467844</v>
      </c>
      <c r="LT2" t="e">
        <f ca="1">_xll.RiskOutput()+Model!Q20*Model!Q18</f>
        <v>#VALUE!</v>
      </c>
      <c r="LU2">
        <f>Model!$R$21</f>
        <v>473151.8467844</v>
      </c>
      <c r="LV2" t="e">
        <f ca="1">_xll.RiskOutput()+Model!R20*Model!R18</f>
        <v>#VALUE!</v>
      </c>
      <c r="LW2">
        <f>Model!$S$21</f>
        <v>473151.8467844</v>
      </c>
      <c r="LX2" t="e">
        <f ca="1">_xll.RiskOutput()+Model!S20*Model!S18</f>
        <v>#VALUE!</v>
      </c>
      <c r="LY2">
        <f>Model!$T$21</f>
        <v>473151.8467844</v>
      </c>
      <c r="LZ2" t="e">
        <f ca="1">_xll.RiskOutput()+Model!T20*Model!T18</f>
        <v>#VALUE!</v>
      </c>
      <c r="MA2">
        <f>Model!$U$21</f>
        <v>473151.8467844</v>
      </c>
      <c r="MB2" t="e">
        <f ca="1">_xll.RiskOutput()+Model!U20*Model!U18</f>
        <v>#VALUE!</v>
      </c>
      <c r="MC2">
        <f>Model!$V$21</f>
        <v>473151.8467844</v>
      </c>
      <c r="MD2" t="e">
        <f ca="1">_xll.RiskOutput()+Model!V20*Model!V18</f>
        <v>#VALUE!</v>
      </c>
      <c r="ME2">
        <f>Model!$W$21</f>
        <v>473151.8467844</v>
      </c>
      <c r="MF2" t="e">
        <f ca="1">_xll.RiskOutput()+Model!W20*Model!W18</f>
        <v>#VALUE!</v>
      </c>
      <c r="MG2">
        <f>Model!$X$21</f>
        <v>473151.8467844</v>
      </c>
      <c r="MH2" t="e">
        <f ca="1">_xll.RiskOutput()+Model!X20*Model!X18</f>
        <v>#VALUE!</v>
      </c>
      <c r="MI2">
        <f>Model!$Y$21</f>
        <v>473151.8467844</v>
      </c>
      <c r="MJ2" t="e">
        <f ca="1">_xll.RiskOutput()+Model!Y20*Model!Y18</f>
        <v>#VALUE!</v>
      </c>
      <c r="MK2">
        <f>Model!$Z$21</f>
        <v>473151.8467844</v>
      </c>
      <c r="ML2" t="e">
        <f ca="1">_xll.RiskOutput()+Model!Z20*Model!Z18</f>
        <v>#VALUE!</v>
      </c>
      <c r="MM2">
        <f>Model!$AA$21</f>
        <v>473151.8467844</v>
      </c>
      <c r="MN2" t="e">
        <f ca="1">_xll.RiskOutput()+Model!AA20*Model!AA18</f>
        <v>#VALUE!</v>
      </c>
      <c r="MO2">
        <f>Model!$AB$21</f>
        <v>473151.8467844</v>
      </c>
      <c r="MP2" t="e">
        <f ca="1">_xll.RiskOutput()+Model!AB20*Model!AB18</f>
        <v>#VALUE!</v>
      </c>
      <c r="MQ2">
        <f>Model!$AC$21</f>
        <v>473151.8467844</v>
      </c>
      <c r="MR2" t="e">
        <f ca="1">_xll.RiskOutput()+Model!AC20*Model!AC18</f>
        <v>#VALUE!</v>
      </c>
      <c r="MS2">
        <f>Model!$AD$21</f>
        <v>473151.8467844</v>
      </c>
      <c r="MT2" t="e">
        <f ca="1">_xll.RiskOutput()+Model!AD20*Model!AD18</f>
        <v>#VALUE!</v>
      </c>
      <c r="MU2">
        <f>Model!$AE$21</f>
        <v>473151.8467844</v>
      </c>
      <c r="MV2" t="e">
        <f ca="1">_xll.RiskOutput()+Model!AE20*Model!AE18</f>
        <v>#VALUE!</v>
      </c>
      <c r="MW2">
        <f>Model!$B$26</f>
        <v>236365.87008500006</v>
      </c>
      <c r="MX2" t="e">
        <f ca="1">_xll.RiskOutput("WW Net w/o Ins")+Model!B13-Model!B10+Model!B25</f>
        <v>#VALUE!</v>
      </c>
      <c r="MY2">
        <f>Model!$C$26</f>
        <v>236365.87008500006</v>
      </c>
      <c r="MZ2" t="e">
        <f ca="1">_xll.RiskOutput("WW Net w/o Ins")+Model!C13-Model!C10+Model!C25</f>
        <v>#VALUE!</v>
      </c>
      <c r="NA2">
        <f>Model!$D$26</f>
        <v>236365.87008500006</v>
      </c>
      <c r="NB2" t="e">
        <f ca="1">_xll.RiskOutput("WW Net w/o Ins")+Model!D13-Model!D10+Model!D25</f>
        <v>#VALUE!</v>
      </c>
      <c r="NC2">
        <f>Model!$E$26</f>
        <v>236365.87008500006</v>
      </c>
      <c r="ND2" t="e">
        <f ca="1">_xll.RiskOutput("WW Net w/o Ins")+Model!E13-Model!E10+Model!E25</f>
        <v>#VALUE!</v>
      </c>
      <c r="NE2">
        <f>Model!$F$26</f>
        <v>236365.87008500006</v>
      </c>
      <c r="NF2" t="e">
        <f ca="1">_xll.RiskOutput("WW Net w/o Ins")+Model!F13-Model!F10+Model!F25</f>
        <v>#VALUE!</v>
      </c>
      <c r="NG2">
        <f>Model!$G$26</f>
        <v>236365.87008500006</v>
      </c>
      <c r="NH2" t="e">
        <f ca="1">_xll.RiskOutput("WW Net w/o Ins")+Model!G13-Model!G10+Model!G25</f>
        <v>#VALUE!</v>
      </c>
      <c r="NI2">
        <f>Model!$H$26</f>
        <v>236365.87008500006</v>
      </c>
      <c r="NJ2" t="e">
        <f ca="1">_xll.RiskOutput("WW Net w/o Ins")+Model!H13-Model!H10+Model!H25</f>
        <v>#VALUE!</v>
      </c>
      <c r="NK2">
        <f>Model!$I$26</f>
        <v>236365.87008500006</v>
      </c>
      <c r="NL2" t="e">
        <f ca="1">_xll.RiskOutput("WW Net w/o Ins")+Model!I13-Model!I10+Model!I25</f>
        <v>#VALUE!</v>
      </c>
      <c r="NM2">
        <f>Model!$J$26</f>
        <v>236365.87008500006</v>
      </c>
      <c r="NN2" t="e">
        <f ca="1">_xll.RiskOutput("WW Net w/o Ins")+Model!J13-Model!J10+Model!J25</f>
        <v>#VALUE!</v>
      </c>
      <c r="NO2">
        <f>Model!$K$26</f>
        <v>236365.87008500006</v>
      </c>
      <c r="NP2" t="e">
        <f ca="1">_xll.RiskOutput("WW Net w/o Ins")+Model!K13-Model!K10+Model!K25</f>
        <v>#VALUE!</v>
      </c>
      <c r="NQ2">
        <f>Model!$L$26</f>
        <v>236365.87008500006</v>
      </c>
      <c r="NR2" t="e">
        <f ca="1">_xll.RiskOutput("WW Net w/o Ins")+Model!L13-Model!L10+Model!L25</f>
        <v>#VALUE!</v>
      </c>
      <c r="NS2">
        <f>Model!$M$26</f>
        <v>236365.87008500006</v>
      </c>
      <c r="NT2" t="e">
        <f ca="1">_xll.RiskOutput("WW Net w/o Ins")+Model!M13-Model!M10+Model!M25</f>
        <v>#VALUE!</v>
      </c>
      <c r="NU2">
        <f>Model!$N$26</f>
        <v>236365.87008500006</v>
      </c>
      <c r="NV2" t="e">
        <f ca="1">_xll.RiskOutput("WW Net w/o Ins")+Model!N13-Model!N10+Model!N25</f>
        <v>#VALUE!</v>
      </c>
      <c r="NW2">
        <f>Model!$O$26</f>
        <v>236365.87008500006</v>
      </c>
      <c r="NX2" t="e">
        <f ca="1">_xll.RiskOutput("WW Net w/o Ins")+Model!O13-Model!O10+Model!O25</f>
        <v>#VALUE!</v>
      </c>
      <c r="NY2">
        <f>Model!$P$26</f>
        <v>236365.87008500006</v>
      </c>
      <c r="NZ2" t="e">
        <f ca="1">_xll.RiskOutput("WW Net w/o Ins")+Model!P13-Model!P10+Model!P25</f>
        <v>#VALUE!</v>
      </c>
      <c r="OA2">
        <f>Model!$Q$26</f>
        <v>236365.87008500006</v>
      </c>
      <c r="OB2" t="e">
        <f ca="1">_xll.RiskOutput("WW Net w/o Ins")+Model!Q13-Model!Q10+Model!Q25</f>
        <v>#VALUE!</v>
      </c>
      <c r="OC2">
        <f>Model!$R$26</f>
        <v>236365.87008500006</v>
      </c>
      <c r="OD2" t="e">
        <f ca="1">_xll.RiskOutput("WW Net w/o Ins")+Model!R13-Model!R10+Model!R25</f>
        <v>#VALUE!</v>
      </c>
      <c r="OE2">
        <f>Model!$S$26</f>
        <v>236365.87008500006</v>
      </c>
      <c r="OF2" t="e">
        <f ca="1">_xll.RiskOutput("WW Net w/o Ins")+Model!S13-Model!S10+Model!S25</f>
        <v>#VALUE!</v>
      </c>
      <c r="OG2">
        <f>Model!$T$26</f>
        <v>236365.87008500006</v>
      </c>
      <c r="OH2" t="e">
        <f ca="1">_xll.RiskOutput("WW Net w/o Ins")+Model!T13-Model!T10+Model!T25</f>
        <v>#VALUE!</v>
      </c>
      <c r="OI2">
        <f>Model!$U$26</f>
        <v>236365.87008500006</v>
      </c>
      <c r="OJ2" t="e">
        <f ca="1">_xll.RiskOutput("WW Net w/o Ins")+Model!U13-Model!U10+Model!U25</f>
        <v>#VALUE!</v>
      </c>
      <c r="OK2">
        <f>Model!$V$26</f>
        <v>236365.87008500006</v>
      </c>
      <c r="OL2" t="e">
        <f ca="1">_xll.RiskOutput("WW Net w/o Ins")+Model!V13-Model!V10+Model!V25</f>
        <v>#VALUE!</v>
      </c>
      <c r="OM2">
        <f>Model!$W$26</f>
        <v>236365.87008500006</v>
      </c>
      <c r="ON2" t="e">
        <f ca="1">_xll.RiskOutput("WW Net w/o Ins")+Model!W13-Model!W10+Model!W25</f>
        <v>#VALUE!</v>
      </c>
      <c r="OO2">
        <f>Model!$X$26</f>
        <v>236365.87008500006</v>
      </c>
      <c r="OP2" t="e">
        <f ca="1">_xll.RiskOutput("WW Net w/o Ins")+Model!X13-Model!X10+Model!X25</f>
        <v>#VALUE!</v>
      </c>
      <c r="OQ2">
        <f>Model!$Y$26</f>
        <v>236365.87008500006</v>
      </c>
      <c r="OR2" t="e">
        <f ca="1">_xll.RiskOutput("WW Net w/o Ins")+Model!Y13-Model!Y10+Model!Y25</f>
        <v>#VALUE!</v>
      </c>
      <c r="OS2">
        <f>Model!$Z$26</f>
        <v>236365.87008500006</v>
      </c>
      <c r="OT2" t="e">
        <f ca="1">_xll.RiskOutput("WW Net w/o Ins")+Model!Z13-Model!Z10+Model!Z25</f>
        <v>#VALUE!</v>
      </c>
      <c r="OU2">
        <f>Model!$AA$26</f>
        <v>236365.87008500006</v>
      </c>
      <c r="OV2" t="e">
        <f ca="1">_xll.RiskOutput("WW Net w/o Ins")+Model!AA13-Model!AA10+Model!AA25</f>
        <v>#VALUE!</v>
      </c>
      <c r="OW2">
        <f>Model!$AB$26</f>
        <v>236365.87008500006</v>
      </c>
      <c r="OX2" t="e">
        <f ca="1">_xll.RiskOutput("WW Net w/o Ins")+Model!AB13-Model!AB10+Model!AB25</f>
        <v>#VALUE!</v>
      </c>
      <c r="OY2">
        <f>Model!$AC$26</f>
        <v>236365.87008500006</v>
      </c>
      <c r="OZ2" t="e">
        <f ca="1">_xll.RiskOutput("WW Net w/o Ins")+Model!AC13-Model!AC10+Model!AC25</f>
        <v>#VALUE!</v>
      </c>
      <c r="PA2">
        <f>Model!$AD$26</f>
        <v>236365.87008500006</v>
      </c>
      <c r="PB2" t="e">
        <f ca="1">_xll.RiskOutput("WW Net w/o Ins")+Model!AD13-Model!AD10+Model!AD25</f>
        <v>#VALUE!</v>
      </c>
      <c r="PC2">
        <f>Model!$AE$26</f>
        <v>236365.87008500006</v>
      </c>
      <c r="PD2" t="e">
        <f ca="1">_xll.RiskOutput("WW Net w/o Ins")+Model!AE13-Model!AE10+Model!AE25</f>
        <v>#VALUE!</v>
      </c>
      <c r="PE2">
        <f>Model!$B$27</f>
        <v>4632875.3736174349</v>
      </c>
      <c r="PF2" s="4" t="e">
        <f ca="1">_xll.RiskOutput("WW No Ins NPV") + NPV(3%,Model!B26:$AE26)</f>
        <v>#VALUE!</v>
      </c>
      <c r="PG2">
        <f>Model!$C$27</f>
        <v>4535495.7647409579</v>
      </c>
      <c r="PH2" s="4" t="e">
        <f ca="1">_xll.RiskOutput("WW No Ins NPV") + NPV(3%,Model!C26:$AE26)</f>
        <v>#VALUE!</v>
      </c>
      <c r="PI2">
        <f>Model!$D$27</f>
        <v>4435194.7675981866</v>
      </c>
      <c r="PJ2" s="4" t="e">
        <f ca="1">_xll.RiskOutput("WW No Ins NPV") + NPV(3%,Model!D26:$AE26)</f>
        <v>#VALUE!</v>
      </c>
      <c r="PK2">
        <f>Model!$E$27</f>
        <v>4331884.7405411322</v>
      </c>
      <c r="PL2" s="4" t="e">
        <f ca="1">_xll.RiskOutput("WW No Ins NPV") + NPV(3%,Model!E26:$AE26)</f>
        <v>#VALUE!</v>
      </c>
      <c r="PM2">
        <f>Model!$F$27</f>
        <v>4225475.412672366</v>
      </c>
      <c r="PN2" s="4" t="e">
        <f ca="1">_xll.RiskOutput("WW No Ins NPV") + NPV(3%,Model!F26:$AE26)</f>
        <v>#VALUE!</v>
      </c>
      <c r="PO2">
        <f>Model!$G$27</f>
        <v>4115873.8049675375</v>
      </c>
      <c r="PP2" s="4" t="e">
        <f ca="1">_xll.RiskOutput("WW No Ins NPV") + NPV(3%,Model!G26:$AE26)</f>
        <v>#VALUE!</v>
      </c>
      <c r="PQ2">
        <f>Model!$H$27</f>
        <v>4002984.1490315632</v>
      </c>
      <c r="PR2" s="4" t="e">
        <f ca="1">_xll.RiskOutput("WW No Ins NPV") + NPV(3%,Model!H26:$AE26)</f>
        <v>#VALUE!</v>
      </c>
      <c r="PS2">
        <f>Model!$I$27</f>
        <v>3886707.8034175104</v>
      </c>
      <c r="PT2" s="4" t="e">
        <f ca="1">_xll.RiskOutput("WW No Ins NPV") + NPV(3%,Model!I26:$AE26)</f>
        <v>#VALUE!</v>
      </c>
      <c r="PU2">
        <f>Model!$J$27</f>
        <v>3766943.1674350356</v>
      </c>
      <c r="PV2" s="4" t="e">
        <f ca="1">_xll.RiskOutput("WW No Ins NPV") + NPV(3%,Model!J26:$AE26)</f>
        <v>#VALUE!</v>
      </c>
      <c r="PW2">
        <f>Model!$K$27</f>
        <v>3643585.5923730866</v>
      </c>
      <c r="PX2" s="4" t="e">
        <f ca="1">_xll.RiskOutput("WW No Ins NPV") + NPV(3%,Model!K26:$AE26)</f>
        <v>#VALUE!</v>
      </c>
      <c r="PY2">
        <f>Model!$L$27</f>
        <v>3516527.2900592792</v>
      </c>
      <c r="PZ2" s="4" t="e">
        <f ca="1">_xll.RiskOutput("WW No Ins NPV") + NPV(3%,Model!L26:$AE26)</f>
        <v>#VALUE!</v>
      </c>
      <c r="QA2">
        <f>Model!$M$27</f>
        <v>3385657.2386760577</v>
      </c>
      <c r="QB2" s="4" t="e">
        <f ca="1">_xll.RiskOutput("WW No Ins NPV") + NPV(3%,Model!M26:$AE26)</f>
        <v>#VALUE!</v>
      </c>
      <c r="QC2">
        <f>Model!$N$27</f>
        <v>3250861.0857513393</v>
      </c>
      <c r="QD2" s="4" t="e">
        <f ca="1">_xll.RiskOutput("WW No Ins NPV") + NPV(3%,Model!N26:$AE26)</f>
        <v>#VALUE!</v>
      </c>
      <c r="QE2">
        <f>Model!$O$27</f>
        <v>3112021.0482388795</v>
      </c>
      <c r="QF2" s="4" t="e">
        <f ca="1">_xll.RiskOutput("WW No Ins NPV") + NPV(3%,Model!O26:$AE26)</f>
        <v>#VALUE!</v>
      </c>
      <c r="QG2">
        <f>Model!$P$27</f>
        <v>2969015.8096010461</v>
      </c>
      <c r="QH2" s="4" t="e">
        <f ca="1">_xll.RiskOutput("WW No Ins NPV") + NPV(3%,Model!P26:$AE26)</f>
        <v>#VALUE!</v>
      </c>
      <c r="QI2">
        <f>Model!$Q$27</f>
        <v>2821720.4138040775</v>
      </c>
      <c r="QJ2" s="4" t="e">
        <f ca="1">_xll.RiskOutput("WW No Ins NPV") + NPV(3%,Model!Q26:$AE26)</f>
        <v>#VALUE!</v>
      </c>
      <c r="QK2">
        <f>Model!$R$27</f>
        <v>2670006.1561332</v>
      </c>
      <c r="QL2" s="4" t="e">
        <f ca="1">_xll.RiskOutput("WW No Ins NPV") + NPV(3%,Model!R26:$AE26)</f>
        <v>#VALUE!</v>
      </c>
      <c r="QM2">
        <f>Model!$S$27</f>
        <v>2513740.4707321962</v>
      </c>
      <c r="QN2" s="4" t="e">
        <f ca="1">_xll.RiskOutput("WW No Ins NPV") + NPV(3%,Model!S26:$AE26)</f>
        <v>#VALUE!</v>
      </c>
      <c r="QO2">
        <f>Model!$T$27</f>
        <v>2352786.8147691623</v>
      </c>
      <c r="QP2" s="4" t="e">
        <f ca="1">_xll.RiskOutput("WW No Ins NPV") + NPV(3%,Model!T26:$AE26)</f>
        <v>#VALUE!</v>
      </c>
      <c r="QQ2">
        <f>Model!$U$27</f>
        <v>2187004.5491272374</v>
      </c>
      <c r="QR2" s="4" t="e">
        <f ca="1">_xll.RiskOutput("WW No Ins NPV") + NPV(3%,Model!U26:$AE26)</f>
        <v>#VALUE!</v>
      </c>
      <c r="QS2">
        <f>Model!$V$27</f>
        <v>2016248.8155160546</v>
      </c>
      <c r="QT2" s="4" t="e">
        <f ca="1">_xll.RiskOutput("WW No Ins NPV") + NPV(3%,Model!V26:$AE26)</f>
        <v>#VALUE!</v>
      </c>
      <c r="QU2">
        <f>Model!$W$27</f>
        <v>1840370.4098965363</v>
      </c>
      <c r="QV2" s="4" t="e">
        <f ca="1">_xll.RiskOutput("WW No Ins NPV") + NPV(3%,Model!W26:$AE26)</f>
        <v>#VALUE!</v>
      </c>
      <c r="QW2">
        <f>Model!$X$27</f>
        <v>1659215.6521084323</v>
      </c>
      <c r="QX2" s="4" t="e">
        <f ca="1">_xll.RiskOutput("WW No Ins NPV") + NPV(3%,Model!X26:$AE26)</f>
        <v>#VALUE!</v>
      </c>
      <c r="QY2">
        <f>Model!$Y$27</f>
        <v>1472626.2515866852</v>
      </c>
      <c r="QZ2" s="4" t="e">
        <f ca="1">_xll.RiskOutput("WW No Ins NPV") + NPV(3%,Model!Y26:$AE26)</f>
        <v>#VALUE!</v>
      </c>
      <c r="RA2">
        <f>Model!$Z$27</f>
        <v>1280439.1690492858</v>
      </c>
      <c r="RB2" s="4" t="e">
        <f ca="1">_xll.RiskOutput("WW No Ins NPV") + NPV(3%,Model!Z26:$AE26)</f>
        <v>#VALUE!</v>
      </c>
      <c r="RC2">
        <f>Model!$AA$27</f>
        <v>1082486.4740357643</v>
      </c>
      <c r="RD2" s="4" t="e">
        <f ca="1">_xll.RiskOutput("WW No Ins NPV") + NPV(3%,Model!AA26:$AE26)</f>
        <v>#VALUE!</v>
      </c>
      <c r="RE2">
        <f>Model!$AB$27</f>
        <v>878595.19817183714</v>
      </c>
      <c r="RF2" s="4" t="e">
        <f ca="1">_xll.RiskOutput("WW No Ins NPV") + NPV(3%,Model!AB26:$AE26)</f>
        <v>#VALUE!</v>
      </c>
      <c r="RG2">
        <f>Model!$AC$27</f>
        <v>668587.1840319921</v>
      </c>
      <c r="RH2" s="4" t="e">
        <f ca="1">_xll.RiskOutput("WW No Ins NPV") + NPV(3%,Model!AC26:$AE26)</f>
        <v>#VALUE!</v>
      </c>
      <c r="RI2">
        <f>Model!$AD$27</f>
        <v>452278.92946795188</v>
      </c>
      <c r="RJ2" s="4" t="e">
        <f ca="1">_xll.RiskOutput("WW No Ins NPV") + NPV(3%,Model!AD26:$AE26)</f>
        <v>#VALUE!</v>
      </c>
      <c r="RK2">
        <f>Model!$AE$27</f>
        <v>229481.42726699036</v>
      </c>
      <c r="RL2" s="4" t="e">
        <f ca="1">_xll.RiskOutput("WW No Ins NPV") + NPV(3%,Model!AE26:$AE26)</f>
        <v>#VALUE!</v>
      </c>
      <c r="RM2">
        <f>Model!$B$29</f>
        <v>69953.712580000007</v>
      </c>
      <c r="RN2" t="e">
        <f ca="1">RiskValStatic(69953.71258)+_xll.RiskMean(Model!B26,1)</f>
        <v>#NAME?</v>
      </c>
      <c r="RO2">
        <f>Model!$C$29</f>
        <v>69673.533490000002</v>
      </c>
      <c r="RP2" t="e">
        <f ca="1">RiskValStatic(69673.53349)+_xll.RiskMean(Model!C26,1)</f>
        <v>#NAME?</v>
      </c>
      <c r="RQ2">
        <f>Model!$D$29</f>
        <v>67440.190799999997</v>
      </c>
      <c r="RR2" t="e">
        <f ca="1">RiskValStatic(67440.1908)+_xll.RiskMean(Model!D26,1)</f>
        <v>#NAME?</v>
      </c>
      <c r="RS2">
        <f>Model!$E$29</f>
        <v>70846.667629999996</v>
      </c>
      <c r="RT2" t="e">
        <f ca="1">RiskValStatic(70846.66763)+_xll.RiskMean(Model!E26,1)</f>
        <v>#NAME?</v>
      </c>
      <c r="RU2">
        <f>Model!$F$29</f>
        <v>73844.372390000004</v>
      </c>
      <c r="RV2" t="e">
        <f ca="1">RiskValStatic(73844.37239)+_xll.RiskMean(Model!F26,1)</f>
        <v>#NAME?</v>
      </c>
      <c r="RW2">
        <f>Model!$G$29</f>
        <v>69122.450389999998</v>
      </c>
      <c r="RX2" t="e">
        <f ca="1">RiskValStatic(69122.45039)+_xll.RiskMean(Model!G26,1)</f>
        <v>#NAME?</v>
      </c>
      <c r="RY2">
        <f>Model!$H$29</f>
        <v>70935.533850000007</v>
      </c>
      <c r="RZ2" t="e">
        <f ca="1">RiskValStatic(70935.53385)+_xll.RiskMean(Model!H26,1)</f>
        <v>#NAME?</v>
      </c>
      <c r="SA2">
        <f>Model!$I$29</f>
        <v>68245.132610000001</v>
      </c>
      <c r="SB2" t="e">
        <f ca="1">RiskValStatic(68245.13261)+_xll.RiskMean(Model!I26,1)</f>
        <v>#NAME?</v>
      </c>
      <c r="SC2">
        <f>Model!$J$29</f>
        <v>70026.623349999994</v>
      </c>
      <c r="SD2" t="e">
        <f ca="1">RiskValStatic(70026.62335)+_xll.RiskMean(Model!J26,1)</f>
        <v>#NAME?</v>
      </c>
      <c r="SE2">
        <f>Model!$K$29</f>
        <v>71648.352360000004</v>
      </c>
      <c r="SF2" t="e">
        <f ca="1">RiskValStatic(71648.35236)+_xll.RiskMean(Model!K26,1)</f>
        <v>#NAME?</v>
      </c>
      <c r="SG2">
        <f>Model!$L$29</f>
        <v>66941.133390000003</v>
      </c>
      <c r="SH2" t="e">
        <f ca="1">RiskValStatic(66941.13339)+_xll.RiskMean(Model!L26,1)</f>
        <v>#NAME?</v>
      </c>
      <c r="SI2">
        <f>Model!$M$29</f>
        <v>68354.963099999994</v>
      </c>
      <c r="SJ2" t="e">
        <f ca="1">RiskValStatic(68354.9631)+_xll.RiskMean(Model!M26,1)</f>
        <v>#NAME?</v>
      </c>
      <c r="SK2">
        <f>Model!$N$29</f>
        <v>70800.481329999995</v>
      </c>
      <c r="SL2" t="e">
        <f ca="1">RiskValStatic(70800.48133)+_xll.RiskMean(Model!N26,1)</f>
        <v>#NAME?</v>
      </c>
      <c r="SM2">
        <f>Model!$O$29</f>
        <v>71045.171929999997</v>
      </c>
      <c r="SN2" t="e">
        <f ca="1">RiskValStatic(71045.17193)+_xll.RiskMean(Model!O26,1)</f>
        <v>#NAME?</v>
      </c>
      <c r="SO2">
        <f>Model!$P$29</f>
        <v>70656.758000000002</v>
      </c>
      <c r="SP2" t="e">
        <f ca="1">RiskValStatic(70656.758)+_xll.RiskMean(Model!P26,1)</f>
        <v>#NAME?</v>
      </c>
      <c r="SQ2">
        <f>Model!$Q$29</f>
        <v>72522.861860000005</v>
      </c>
      <c r="SR2" t="e">
        <f ca="1">RiskValStatic(72522.86186)+_xll.RiskMean(Model!Q26,1)</f>
        <v>#NAME?</v>
      </c>
      <c r="SS2">
        <f>Model!$R$29</f>
        <v>68072.819529999993</v>
      </c>
      <c r="ST2" t="e">
        <f ca="1">RiskValStatic(68072.81953)+_xll.RiskMean(Model!R26,1)</f>
        <v>#NAME?</v>
      </c>
      <c r="SU2">
        <f>Model!$S$29</f>
        <v>67099.103000000003</v>
      </c>
      <c r="SV2" t="e">
        <f ca="1">RiskValStatic(67099.103)+_xll.RiskMean(Model!S26,1)</f>
        <v>#NAME?</v>
      </c>
      <c r="SW2">
        <f>Model!$T$29</f>
        <v>67798.956940000004</v>
      </c>
      <c r="SX2" t="e">
        <f ca="1">RiskValStatic(67798.95694)+_xll.RiskMean(Model!T26,1)</f>
        <v>#NAME?</v>
      </c>
      <c r="SY2">
        <f>Model!$U$29</f>
        <v>63892.994229999997</v>
      </c>
      <c r="SZ2" t="e">
        <f ca="1">RiskValStatic(63892.99423)+_xll.RiskMean(Model!U26,1)</f>
        <v>#NAME?</v>
      </c>
      <c r="TA2">
        <f>Model!$V$29</f>
        <v>65202.687299999998</v>
      </c>
      <c r="TB2" t="e">
        <f ca="1">RiskValStatic(65202.6873)+_xll.RiskMean(Model!V26,1)</f>
        <v>#NAME?</v>
      </c>
      <c r="TC2">
        <f>Model!$W$29</f>
        <v>73184.087199999994</v>
      </c>
      <c r="TD2" t="e">
        <f ca="1">RiskValStatic(73184.0872)+_xll.RiskMean(Model!W26,1)</f>
        <v>#NAME?</v>
      </c>
      <c r="TE2">
        <f>Model!$X$29</f>
        <v>69421.299750000006</v>
      </c>
      <c r="TF2" t="e">
        <f ca="1">RiskValStatic(69421.29975)+_xll.RiskMean(Model!X26,1)</f>
        <v>#NAME?</v>
      </c>
      <c r="TG2">
        <f>Model!$Y$29</f>
        <v>69930.149399999995</v>
      </c>
      <c r="TH2" t="e">
        <f ca="1">RiskValStatic(69930.1494)+_xll.RiskMean(Model!Y26,1)</f>
        <v>#NAME?</v>
      </c>
      <c r="TI2">
        <f>Model!$Z$29</f>
        <v>70251.187420000002</v>
      </c>
      <c r="TJ2" t="e">
        <f ca="1">RiskValStatic(70251.18742)+_xll.RiskMean(Model!Z26,1)</f>
        <v>#NAME?</v>
      </c>
      <c r="TK2">
        <f>Model!$AA$29</f>
        <v>65728.726980000007</v>
      </c>
      <c r="TL2" t="e">
        <f ca="1">RiskValStatic(65728.72698)+_xll.RiskMean(Model!AA26,1)</f>
        <v>#NAME?</v>
      </c>
      <c r="TM2">
        <f>Model!$AB$29</f>
        <v>76100.994189999998</v>
      </c>
      <c r="TN2" t="e">
        <f ca="1">RiskValStatic(76100.99419)+_xll.RiskMean(Model!AB26,1)</f>
        <v>#NAME?</v>
      </c>
      <c r="TO2">
        <f>Model!$AC$29</f>
        <v>67900.287700000001</v>
      </c>
      <c r="TP2" t="e">
        <f ca="1">RiskValStatic(67900.2877)+_xll.RiskMean(Model!AC26,1)</f>
        <v>#NAME?</v>
      </c>
      <c r="TQ2">
        <f>Model!$AD$29</f>
        <v>68241.82948</v>
      </c>
      <c r="TR2" t="e">
        <f ca="1">RiskValStatic(68241.82948)+_xll.RiskMean(Model!AD26,1)</f>
        <v>#NAME?</v>
      </c>
      <c r="TS2">
        <f>Model!$AE$29</f>
        <v>208534.9516</v>
      </c>
      <c r="TT2" t="e">
        <f ca="1">RiskValStatic(208534.9516)+_xll.RiskMean(Model!AE26,1)</f>
        <v>#NAME?</v>
      </c>
      <c r="TU2">
        <f>Model!$B$30</f>
        <v>1420703.308</v>
      </c>
      <c r="TV2" t="e">
        <f ca="1">RiskValStatic(1420703.308)+_xll.RiskMean(Model!B$27,1)</f>
        <v>#NAME?</v>
      </c>
      <c r="TW2">
        <f>Model!$C$30</f>
        <v>1393370.6950000001</v>
      </c>
      <c r="TX2" t="e">
        <f ca="1">RiskValStatic(1393370.695)+_xll.RiskMean(Model!C$27,1)</f>
        <v>#NAME?</v>
      </c>
      <c r="TY2">
        <f>Model!$D$30</f>
        <v>1365498.2819999999</v>
      </c>
      <c r="TZ2" t="e">
        <f ca="1">RiskValStatic(1365498.282)+_xll.RiskMean(Model!D$27,1)</f>
        <v>#NAME?</v>
      </c>
      <c r="UA2">
        <f>Model!$E$30</f>
        <v>1339023.04</v>
      </c>
      <c r="UB2" t="e">
        <f ca="1">RiskValStatic(1339023.04)+_xll.RiskMean(Model!E$27,1)</f>
        <v>#NAME?</v>
      </c>
      <c r="UC2">
        <f>Model!$F$30</f>
        <v>1308347.0630000001</v>
      </c>
      <c r="UD2" t="e">
        <f ca="1">RiskValStatic(1308347.063)+_xll.RiskMean(Model!F$27,1)</f>
        <v>#NAME?</v>
      </c>
      <c r="UE2">
        <f>Model!$G$30</f>
        <v>1273753.1029999999</v>
      </c>
      <c r="UF2" t="e">
        <f ca="1">RiskValStatic(1273753.103)+_xll.RiskMean(Model!G$27,1)</f>
        <v>#NAME?</v>
      </c>
      <c r="UG2">
        <f>Model!$H$30</f>
        <v>1242843.246</v>
      </c>
      <c r="UH2" t="e">
        <f ca="1">RiskValStatic(1242843.246)+_xll.RiskMean(Model!H$27,1)</f>
        <v>#NAME?</v>
      </c>
      <c r="UI2">
        <f>Model!$I$30</f>
        <v>1209193.0090000001</v>
      </c>
      <c r="UJ2" t="e">
        <f ca="1">RiskValStatic(1209193.009)+_xll.RiskMean(Model!I$27,1)</f>
        <v>#NAME?</v>
      </c>
      <c r="UK2">
        <f>Model!$J$30</f>
        <v>1177223.6669999999</v>
      </c>
      <c r="UL2" t="e">
        <f ca="1">RiskValStatic(1177223.667)+_xll.RiskMean(Model!J$27,1)</f>
        <v>#NAME?</v>
      </c>
      <c r="UM2">
        <f>Model!$K$30</f>
        <v>1142513.753</v>
      </c>
      <c r="UN2" t="e">
        <f ca="1">RiskValStatic(1142513.753)+_xll.RiskMean(Model!K$27,1)</f>
        <v>#NAME?</v>
      </c>
      <c r="UO2">
        <f>Model!$L$30</f>
        <v>1105140.814</v>
      </c>
      <c r="UP2" t="e">
        <f ca="1">RiskValStatic(1105140.814)+_xll.RiskMean(Model!L$27,1)</f>
        <v>#NAME?</v>
      </c>
      <c r="UQ2">
        <f>Model!$M$30</f>
        <v>1071353.905</v>
      </c>
      <c r="UR2" t="e">
        <f ca="1">RiskValStatic(1071353.905)+_xll.RiskMean(Model!M$27,1)</f>
        <v>#NAME?</v>
      </c>
      <c r="US2">
        <f>Model!$N$30</f>
        <v>1035139.559</v>
      </c>
      <c r="UT2" t="e">
        <f ca="1">RiskValStatic(1035139.559)+_xll.RiskMean(Model!N$27,1)</f>
        <v>#NAME?</v>
      </c>
      <c r="UU2">
        <f>Model!$O$30</f>
        <v>995393.26419999998</v>
      </c>
      <c r="UV2" t="e">
        <f ca="1">RiskValStatic(995393.2642)+_xll.RiskMean(Model!O$27,1)</f>
        <v>#NAME?</v>
      </c>
      <c r="UW2">
        <f>Model!$P$30</f>
        <v>954209.89020000002</v>
      </c>
      <c r="UX2" t="e">
        <f ca="1">RiskValStatic(954209.8902)+_xll.RiskMean(Model!P$27,1)</f>
        <v>#NAME?</v>
      </c>
      <c r="UY2">
        <f>Model!$Q$30</f>
        <v>912179.42890000006</v>
      </c>
      <c r="UZ2" t="e">
        <f ca="1">RiskValStatic(912179.4289)+_xll.RiskMean(Model!Q$27,1)</f>
        <v>#NAME?</v>
      </c>
      <c r="VA2">
        <f>Model!$R$30</f>
        <v>867021.94990000001</v>
      </c>
      <c r="VB2" t="e">
        <f ca="1">RiskValStatic(867021.9499)+_xll.RiskMean(Model!R$27,1)</f>
        <v>#NAME?</v>
      </c>
      <c r="VC2">
        <f>Model!$S$30</f>
        <v>824959.78890000004</v>
      </c>
      <c r="VD2" t="e">
        <f ca="1">RiskValStatic(824959.7889)+_xll.RiskMean(Model!S$27,1)</f>
        <v>#NAME?</v>
      </c>
      <c r="VE2">
        <f>Model!$T$30</f>
        <v>782609.47959999996</v>
      </c>
      <c r="VF2" t="e">
        <f ca="1">RiskValStatic(782609.4796)+_xll.RiskMean(Model!T$27,1)</f>
        <v>#NAME?</v>
      </c>
      <c r="VG2">
        <f>Model!$U$30</f>
        <v>738288.80700000003</v>
      </c>
      <c r="VH2" t="e">
        <f ca="1">RiskValStatic(738288.807)+_xll.RiskMean(Model!U$27,1)</f>
        <v>#NAME?</v>
      </c>
      <c r="VI2">
        <f>Model!$V$30</f>
        <v>696544.47699999996</v>
      </c>
      <c r="VJ2" t="e">
        <f ca="1">RiskValStatic(696544.477)+_xll.RiskMean(Model!V$27,1)</f>
        <v>#NAME?</v>
      </c>
      <c r="VK2">
        <f>Model!$W$30</f>
        <v>652238.12399999995</v>
      </c>
      <c r="VL2" t="e">
        <f ca="1">RiskValStatic(652238.124)+_xll.RiskMean(Model!W$27,1)</f>
        <v>#NAME?</v>
      </c>
      <c r="VM2">
        <f>Model!$X$30</f>
        <v>598621.18050000002</v>
      </c>
      <c r="VN2" t="e">
        <f ca="1">RiskValStatic(598621.1805)+_xll.RiskMean(Model!X$27,1)</f>
        <v>#NAME?</v>
      </c>
      <c r="VO2">
        <f>Model!$Y$30</f>
        <v>547158.51619999995</v>
      </c>
      <c r="VP2" t="e">
        <f ca="1">RiskValStatic(547158.5162)+_xll.RiskMean(Model!Y$27,1)</f>
        <v>#NAME?</v>
      </c>
      <c r="VQ2">
        <f>Model!$Z$30</f>
        <v>493643.12229999999</v>
      </c>
      <c r="VR2" t="e">
        <f ca="1">RiskValStatic(493643.1223)+_xll.RiskMean(Model!Z$27,1)</f>
        <v>#NAME?</v>
      </c>
      <c r="VS2">
        <f>Model!$AA$30</f>
        <v>438201.22859999997</v>
      </c>
      <c r="VT2" t="e">
        <f ca="1">RiskValStatic(438201.2286)+_xll.RiskMean(Model!AA$27,1)</f>
        <v>#NAME?</v>
      </c>
      <c r="VU2">
        <f>Model!$AB$30</f>
        <v>385618.53840000002</v>
      </c>
      <c r="VV2" t="e">
        <f ca="1">RiskValStatic(385618.5384)+_xll.RiskMean(Model!AB$27,1)</f>
        <v>#NAME?</v>
      </c>
      <c r="VW2">
        <f>Model!$AC$30</f>
        <v>321086.1004</v>
      </c>
      <c r="VX2" t="e">
        <f ca="1">RiskValStatic(321086.1004)+_xll.RiskMean(Model!AC$27,1)</f>
        <v>#NAME?</v>
      </c>
      <c r="VY2">
        <f>Model!$AD$30</f>
        <v>262818.39569999999</v>
      </c>
      <c r="VZ2" t="e">
        <f ca="1">RiskValStatic(262818.3957)+_xll.RiskMean(Model!AD$27,1)</f>
        <v>#NAME?</v>
      </c>
      <c r="WA2">
        <f>Model!$AE$30</f>
        <v>202461.11809999999</v>
      </c>
      <c r="WB2" t="e">
        <f ca="1">RiskValStatic(202461.1181)+_xll.RiskMean(Model!AE$27,1)</f>
        <v>#NAME?</v>
      </c>
      <c r="WC2">
        <f>Model!$B$32</f>
        <v>69953.712580000007</v>
      </c>
      <c r="WD2" t="e">
        <f ca="1">RiskValStatic(69953.71258)+_xll.RiskMean(Model!B26,2)</f>
        <v>#NAME?</v>
      </c>
      <c r="WE2">
        <f>Model!$C$32</f>
        <v>76561.925650000005</v>
      </c>
      <c r="WF2" t="e">
        <f ca="1">RiskValStatic(76561.92565)+_xll.RiskMean(Model!C26,2)</f>
        <v>#NAME?</v>
      </c>
      <c r="WG2">
        <f>Model!$D$32</f>
        <v>84527.170740000001</v>
      </c>
      <c r="WH2" t="e">
        <f ca="1">RiskValStatic(84527.17074)+_xll.RiskMean(Model!D26,2)</f>
        <v>#NAME?</v>
      </c>
      <c r="WI2">
        <f>Model!$E$32</f>
        <v>94690.930479999995</v>
      </c>
      <c r="WJ2" t="e">
        <f ca="1">RiskValStatic(94690.93048)+_xll.RiskMean(Model!E26,2)</f>
        <v>#NAME?</v>
      </c>
      <c r="WK2">
        <f>Model!$F$32</f>
        <v>104130.9813</v>
      </c>
      <c r="WL2" t="e">
        <f ca="1">RiskValStatic(104130.9813)+_xll.RiskMean(Model!F26,2)</f>
        <v>#NAME?</v>
      </c>
      <c r="WM2">
        <f>Model!$G$32</f>
        <v>107631.4281</v>
      </c>
      <c r="WN2" t="e">
        <f ca="1">RiskValStatic(107631.4281)+_xll.RiskMean(Model!G26,2)</f>
        <v>#NAME?</v>
      </c>
      <c r="WO2">
        <f>Model!$H$32</f>
        <v>115260.96090000001</v>
      </c>
      <c r="WP2" t="e">
        <f ca="1">RiskValStatic(115260.9609)+_xll.RiskMean(Model!H26,2)</f>
        <v>#NAME?</v>
      </c>
      <c r="WQ2">
        <f>Model!$I$32</f>
        <v>120577.45789999999</v>
      </c>
      <c r="WR2" t="e">
        <f ca="1">RiskValStatic(120577.4579)+_xll.RiskMean(Model!I26,2)</f>
        <v>#NAME?</v>
      </c>
      <c r="WS2">
        <f>Model!$J$32</f>
        <v>130677.4618</v>
      </c>
      <c r="WT2" t="e">
        <f ca="1">RiskValStatic(130677.4618)+_xll.RiskMean(Model!J26,2)</f>
        <v>#NAME?</v>
      </c>
      <c r="WU2">
        <f>Model!$K$32</f>
        <v>139261.90090000001</v>
      </c>
      <c r="WV2" t="e">
        <f ca="1">RiskValStatic(139261.9009)+_xll.RiskMean(Model!K26,2)</f>
        <v>#NAME?</v>
      </c>
      <c r="WW2">
        <f>Model!$L$32</f>
        <v>143769.35310000001</v>
      </c>
      <c r="WX2" t="e">
        <f ca="1">RiskValStatic(143769.3531)+_xll.RiskMean(Model!L26,2)</f>
        <v>#NAME?</v>
      </c>
      <c r="WY2">
        <f>Model!$M$32</f>
        <v>152429.33809999999</v>
      </c>
      <c r="WZ2" t="e">
        <f ca="1">RiskValStatic(152429.3381)+_xll.RiskMean(Model!M26,2)</f>
        <v>#NAME?</v>
      </c>
      <c r="XA2">
        <f>Model!$N$32</f>
        <v>160411.6539</v>
      </c>
      <c r="XB2" t="e">
        <f ca="1">RiskValStatic(160411.6539)+_xll.RiskMean(Model!N26,2)</f>
        <v>#NAME?</v>
      </c>
      <c r="XC2">
        <f>Model!$O$32</f>
        <v>167487.10190000001</v>
      </c>
      <c r="XD2" t="e">
        <f ca="1">RiskValStatic(167487.1019)+_xll.RiskMean(Model!O26,2)</f>
        <v>#NAME?</v>
      </c>
      <c r="XE2">
        <f>Model!$P$32</f>
        <v>172930.74710000001</v>
      </c>
      <c r="XF2" t="e">
        <f ca="1">RiskValStatic(172930.7471)+_xll.RiskMean(Model!P26,2)</f>
        <v>#NAME?</v>
      </c>
      <c r="XG2">
        <f>Model!$Q$32</f>
        <v>184820.17199999999</v>
      </c>
      <c r="XH2" t="e">
        <f ca="1">RiskValStatic(184820.172)+_xll.RiskMean(Model!Q26,2)</f>
        <v>#NAME?</v>
      </c>
      <c r="XI2">
        <f>Model!$R$32</f>
        <v>191338.20420000001</v>
      </c>
      <c r="XJ2" t="e">
        <f ca="1">RiskValStatic(191338.2042)+_xll.RiskMean(Model!R26,2)</f>
        <v>#NAME?</v>
      </c>
      <c r="XK2">
        <f>Model!$S$32</f>
        <v>195706.2341</v>
      </c>
      <c r="XL2" t="e">
        <f ca="1">RiskValStatic(195706.2341)+_xll.RiskMean(Model!S26,2)</f>
        <v>#NAME?</v>
      </c>
      <c r="XM2">
        <f>Model!$T$32</f>
        <v>204306.09109999999</v>
      </c>
      <c r="XN2" t="e">
        <f ca="1">RiskValStatic(204306.0911)+_xll.RiskMean(Model!T26,2)</f>
        <v>#NAME?</v>
      </c>
      <c r="XO2">
        <f>Model!$U$32</f>
        <v>208682.86069999999</v>
      </c>
      <c r="XP2" t="e">
        <f ca="1">RiskValStatic(208682.8607)+_xll.RiskMean(Model!U26,2)</f>
        <v>#NAME?</v>
      </c>
      <c r="XQ2">
        <f>Model!$V$32</f>
        <v>208051.0533</v>
      </c>
      <c r="XR2" t="e">
        <f ca="1">RiskValStatic(208051.0533)+_xll.RiskMean(Model!V26,2)</f>
        <v>#NAME?</v>
      </c>
      <c r="XS2">
        <f>Model!$W$32</f>
        <v>208951.2764</v>
      </c>
      <c r="XT2" t="e">
        <f ca="1">RiskValStatic(208951.2764)+_xll.RiskMean(Model!W26,2)</f>
        <v>#NAME?</v>
      </c>
      <c r="XU2">
        <f>Model!$X$32</f>
        <v>208205.36929999999</v>
      </c>
      <c r="XV2" t="e">
        <f ca="1">RiskValStatic(208205.3693)+_xll.RiskMean(Model!X26,2)</f>
        <v>#NAME?</v>
      </c>
      <c r="XW2">
        <f>Model!$Y$32</f>
        <v>210911.67869999999</v>
      </c>
      <c r="XX2" t="e">
        <f ca="1">RiskValStatic(210911.6787)+_xll.RiskMean(Model!Y26,2)</f>
        <v>#NAME?</v>
      </c>
      <c r="XY2">
        <f>Model!$Z$32</f>
        <v>207556.7654</v>
      </c>
      <c r="XZ2" t="e">
        <f ca="1">RiskValStatic(207556.7654)+_xll.RiskMean(Model!Z26,2)</f>
        <v>#NAME?</v>
      </c>
      <c r="YA2">
        <f>Model!$AA$32</f>
        <v>208019.7322</v>
      </c>
      <c r="YB2" t="e">
        <f ca="1">RiskValStatic(208019.7322)+_xll.RiskMean(Model!AA26,2)</f>
        <v>#NAME?</v>
      </c>
      <c r="YC2">
        <f>Model!$AB$32</f>
        <v>208146.28599999999</v>
      </c>
      <c r="YD2" t="e">
        <f ca="1">RiskValStatic(208146.286)+_xll.RiskMean(Model!AB26,2)</f>
        <v>#NAME?</v>
      </c>
      <c r="YE2">
        <f>Model!$AC$32</f>
        <v>209118.23509999999</v>
      </c>
      <c r="YF2" t="e">
        <f ca="1">RiskValStatic(209118.2351)+_xll.RiskMean(Model!AC26,2)</f>
        <v>#NAME?</v>
      </c>
      <c r="YG2">
        <f>Model!$AD$32</f>
        <v>209182.6</v>
      </c>
      <c r="YH2" t="e">
        <f ca="1">RiskValStatic(209182.6)+_xll.RiskMean(Model!AD26,2)</f>
        <v>#NAME?</v>
      </c>
      <c r="YI2">
        <f>Model!$AE$32</f>
        <v>208534.9516</v>
      </c>
      <c r="YJ2" t="e">
        <f ca="1">RiskValStatic(208534.9516)+_xll.RiskMean(Model!AE26,2)</f>
        <v>#NAME?</v>
      </c>
      <c r="YK2">
        <f>Model!$B$33</f>
        <v>2979405.477</v>
      </c>
      <c r="YL2" t="e">
        <f ca="1">RiskValStatic(2979405.477)+_xll.RiskMean(Model!B$27,2)</f>
        <v>#NAME?</v>
      </c>
      <c r="YM2">
        <f>Model!$C$33</f>
        <v>2998833.929</v>
      </c>
      <c r="YN2" t="e">
        <f ca="1">RiskValStatic(2998833.929)+_xll.RiskMean(Model!C$27,2)</f>
        <v>#NAME?</v>
      </c>
      <c r="YO2">
        <f>Model!$D$33</f>
        <v>3012237.0210000002</v>
      </c>
      <c r="YP2" t="e">
        <f ca="1">RiskValStatic(3012237.021)+_xll.RiskMean(Model!D$27,2)</f>
        <v>#NAME?</v>
      </c>
      <c r="YQ2">
        <f>Model!$E$33</f>
        <v>3018076.9610000001</v>
      </c>
      <c r="YR2" t="e">
        <f ca="1">RiskValStatic(3018076.961)+_xll.RiskMean(Model!E$27,2)</f>
        <v>#NAME?</v>
      </c>
      <c r="YS2">
        <f>Model!$F$33</f>
        <v>3013928.3390000002</v>
      </c>
      <c r="YT2" t="e">
        <f ca="1">RiskValStatic(3013928.339)+_xll.RiskMean(Model!F$27,2)</f>
        <v>#NAME?</v>
      </c>
      <c r="YU2">
        <f>Model!$G$33</f>
        <v>3000215.2080000001</v>
      </c>
      <c r="YV2" t="e">
        <f ca="1">RiskValStatic(3000215.208)+_xll.RiskMean(Model!G$27,2)</f>
        <v>#NAME?</v>
      </c>
      <c r="YW2">
        <f>Model!$H$33</f>
        <v>2982590.236</v>
      </c>
      <c r="YX2" t="e">
        <f ca="1">RiskValStatic(2982590.236)+_xll.RiskMean(Model!H$27,2)</f>
        <v>#NAME?</v>
      </c>
      <c r="YY2">
        <f>Model!$I$33</f>
        <v>2956806.983</v>
      </c>
      <c r="YZ2" t="e">
        <f ca="1">RiskValStatic(2956806.983)+_xll.RiskMean(Model!I$27,2)</f>
        <v>#NAME?</v>
      </c>
      <c r="ZA2">
        <f>Model!$J$33</f>
        <v>2924933.7340000002</v>
      </c>
      <c r="ZB2" t="e">
        <f ca="1">RiskValStatic(2924933.734)+_xll.RiskMean(Model!J$27,2)</f>
        <v>#NAME?</v>
      </c>
      <c r="ZC2">
        <f>Model!$K$33</f>
        <v>2882004.284</v>
      </c>
      <c r="ZD2" t="e">
        <f ca="1">RiskValStatic(2882004.284)+_xll.RiskMean(Model!K$27,2)</f>
        <v>#NAME?</v>
      </c>
      <c r="ZE2">
        <f>Model!$L$33</f>
        <v>2829202.5120000001</v>
      </c>
      <c r="ZF2" t="e">
        <f ca="1">RiskValStatic(2829202.512)+_xll.RiskMean(Model!L$27,2)</f>
        <v>#NAME?</v>
      </c>
      <c r="ZG2">
        <f>Model!$M$33</f>
        <v>2770309.2340000002</v>
      </c>
      <c r="ZH2" t="e">
        <f ca="1">RiskValStatic(2770309.234)+_xll.RiskMean(Model!M$27,2)</f>
        <v>#NAME?</v>
      </c>
      <c r="ZI2">
        <f>Model!$N$33</f>
        <v>2700989.173</v>
      </c>
      <c r="ZJ2" t="e">
        <f ca="1">RiskValStatic(2700989.173)+_xll.RiskMean(Model!N$27,2)</f>
        <v>#NAME?</v>
      </c>
      <c r="ZK2">
        <f>Model!$O$33</f>
        <v>2621607.1940000001</v>
      </c>
      <c r="ZL2" t="e">
        <f ca="1">RiskValStatic(2621607.194)+_xll.RiskMean(Model!O$27,2)</f>
        <v>#NAME?</v>
      </c>
      <c r="ZM2">
        <f>Model!$P$33</f>
        <v>2532768.3080000002</v>
      </c>
      <c r="ZN2" t="e">
        <f ca="1">RiskValStatic(2532768.308)+_xll.RiskMean(Model!P$27,2)</f>
        <v>#NAME?</v>
      </c>
      <c r="ZO2">
        <f>Model!$Q$33</f>
        <v>2435820.611</v>
      </c>
      <c r="ZP2" t="e">
        <f ca="1">RiskValStatic(2435820.611)+_xll.RiskMean(Model!Q$27,2)</f>
        <v>#NAME?</v>
      </c>
      <c r="ZQ2">
        <f>Model!$R$33</f>
        <v>2324075.057</v>
      </c>
      <c r="ZR2" t="e">
        <f ca="1">RiskValStatic(2324075.057)+_xll.RiskMean(Model!R$27,2)</f>
        <v>#NAME?</v>
      </c>
      <c r="ZS2">
        <f>Model!$S$33</f>
        <v>2202459.1039999998</v>
      </c>
      <c r="ZT2" t="e">
        <f ca="1">RiskValStatic(2202459.104)+_xll.RiskMean(Model!S$27,2)</f>
        <v>#NAME?</v>
      </c>
      <c r="ZU2">
        <f>Model!$T$33</f>
        <v>2072826.6429999999</v>
      </c>
      <c r="ZV2" t="e">
        <f ca="1">RiskValStatic(2072826.643)+_xll.RiskMean(Model!T$27,2)</f>
        <v>#NAME?</v>
      </c>
      <c r="ZW2">
        <f>Model!$U$33</f>
        <v>1930705.352</v>
      </c>
      <c r="ZX2" t="e">
        <f ca="1">RiskValStatic(1930705.352)+_xll.RiskMean(Model!U$27,2)</f>
        <v>#NAME?</v>
      </c>
      <c r="ZY2">
        <f>Model!$V$33</f>
        <v>1779943.6510000001</v>
      </c>
      <c r="ZZ2" t="e">
        <f ca="1">RiskValStatic(1779943.651)+_xll.RiskMean(Model!V$27,2)</f>
        <v>#NAME?</v>
      </c>
      <c r="AAA2">
        <f>Model!$W$33</f>
        <v>1625290.9080000001</v>
      </c>
      <c r="AAB2" t="e">
        <f ca="1">RiskValStatic(1625290.908)+_xll.RiskMean(Model!W$27,2)</f>
        <v>#NAME?</v>
      </c>
      <c r="AAC2">
        <f>Model!$X$33</f>
        <v>1465098.3589999999</v>
      </c>
      <c r="AAD2" t="e">
        <f ca="1">RiskValStatic(1465098.359)+_xll.RiskMean(Model!X$27,2)</f>
        <v>#NAME?</v>
      </c>
      <c r="AAE2">
        <f>Model!$Y$33</f>
        <v>1300845.94</v>
      </c>
      <c r="AAF2" t="e">
        <f ca="1">RiskValStatic(1300845.94)+_xll.RiskMean(Model!Y$27,2)</f>
        <v>#NAME?</v>
      </c>
      <c r="AAG2">
        <f>Model!$Z$33</f>
        <v>1128959.639</v>
      </c>
      <c r="AAH2" t="e">
        <f ca="1">RiskValStatic(1128959.639)+_xll.RiskMean(Model!Z$27,2)</f>
        <v>#NAME?</v>
      </c>
      <c r="AAI2">
        <f>Model!$AA$33</f>
        <v>955271.66330000001</v>
      </c>
      <c r="AAJ2" t="e">
        <f ca="1">RiskValStatic(955271.6633)+_xll.RiskMean(Model!AA$27,2)</f>
        <v>#NAME?</v>
      </c>
      <c r="AAK2">
        <f>Model!$AB$33</f>
        <v>775910.08089999994</v>
      </c>
      <c r="AAL2" t="e">
        <f ca="1">RiskValStatic(775910.0809)+_xll.RiskMean(Model!AB$27,2)</f>
        <v>#NAME?</v>
      </c>
      <c r="AAM2">
        <f>Model!$AC$33</f>
        <v>591041.09739999997</v>
      </c>
      <c r="AAN2" t="e">
        <f ca="1">RiskValStatic(591041.0974)+_xll.RiskMean(Model!AC$27,2)</f>
        <v>#NAME?</v>
      </c>
      <c r="AAO2">
        <f>Model!$AD$33</f>
        <v>399654.09519999998</v>
      </c>
      <c r="AAP2" t="e">
        <f ca="1">RiskValStatic(399654.0952)+_xll.RiskMean(Model!AD$27,2)</f>
        <v>#NAME?</v>
      </c>
      <c r="AAQ2">
        <f>Model!$AE$33</f>
        <v>202461.11809999999</v>
      </c>
      <c r="AAR2" t="e">
        <f ca="1">RiskValStatic(202461.1181)+_xll.RiskMean(Model!AE$27,2)</f>
        <v>#NAME?</v>
      </c>
      <c r="AAS2">
        <f>Model!$B$35</f>
        <v>69953.712580000007</v>
      </c>
      <c r="AAT2" t="e">
        <f ca="1">RiskValStatic(69953.71258)+_xll.RiskMean(Model!B26,3)</f>
        <v>#NAME?</v>
      </c>
      <c r="AAU2">
        <f>Model!$C$35</f>
        <v>75007.261280000006</v>
      </c>
      <c r="AAV2" t="e">
        <f ca="1">RiskValStatic(75007.26128)+_xll.RiskMean(Model!C26,3)</f>
        <v>#NAME?</v>
      </c>
      <c r="AAW2">
        <f>Model!$D$35</f>
        <v>80578.317429999996</v>
      </c>
      <c r="AAX2" t="e">
        <f ca="1">RiskValStatic(80578.31743)+_xll.RiskMean(Model!D26,3)</f>
        <v>#NAME?</v>
      </c>
      <c r="AAY2">
        <f>Model!$E$35</f>
        <v>88330.578049999996</v>
      </c>
      <c r="AAZ2" t="e">
        <f ca="1">RiskValStatic(88330.57805)+_xll.RiskMean(Model!E26,3)</f>
        <v>#NAME?</v>
      </c>
      <c r="ABA2">
        <f>Model!$F$35</f>
        <v>96166.905369999993</v>
      </c>
      <c r="ABB2" t="e">
        <f ca="1">RiskValStatic(96166.90537)+_xll.RiskMean(Model!F26,3)</f>
        <v>#NAME?</v>
      </c>
      <c r="ABC2">
        <f>Model!$G$35</f>
        <v>97595.964099999997</v>
      </c>
      <c r="ABD2" t="e">
        <f ca="1">RiskValStatic(97595.9641)+_xll.RiskMean(Model!G26,3)</f>
        <v>#NAME?</v>
      </c>
      <c r="ABE2">
        <f>Model!$H$35</f>
        <v>103840.7914</v>
      </c>
      <c r="ABF2" t="e">
        <f ca="1">RiskValStatic(103840.7914)+_xll.RiskMean(Model!H26,3)</f>
        <v>#NAME?</v>
      </c>
      <c r="ABG2">
        <f>Model!$I$35</f>
        <v>107776.231</v>
      </c>
      <c r="ABH2" t="e">
        <f ca="1">RiskValStatic(107776.231)+_xll.RiskMean(Model!I26,3)</f>
        <v>#NAME?</v>
      </c>
      <c r="ABI2">
        <f>Model!$J$35</f>
        <v>115563.9038</v>
      </c>
      <c r="ABJ2" t="e">
        <f ca="1">RiskValStatic(115563.9038)+_xll.RiskMean(Model!J26,3)</f>
        <v>#NAME?</v>
      </c>
      <c r="ABK2">
        <f>Model!$K$35</f>
        <v>120375.5153</v>
      </c>
      <c r="ABL2" t="e">
        <f ca="1">RiskValStatic(120375.5153)+_xll.RiskMean(Model!K26,3)</f>
        <v>#NAME?</v>
      </c>
      <c r="ABM2">
        <f>Model!$L$35</f>
        <v>123453.29369999999</v>
      </c>
      <c r="ABN2" t="e">
        <f ca="1">RiskValStatic(123453.2937)+_xll.RiskMean(Model!L26,3)</f>
        <v>#NAME?</v>
      </c>
      <c r="ABO2">
        <f>Model!$M$35</f>
        <v>128744.9093</v>
      </c>
      <c r="ABP2" t="e">
        <f ca="1">RiskValStatic(128744.9093)+_xll.RiskMean(Model!M26,3)</f>
        <v>#NAME?</v>
      </c>
      <c r="ABQ2">
        <f>Model!$N$35</f>
        <v>136569.6691</v>
      </c>
      <c r="ABR2" t="e">
        <f ca="1">RiskValStatic(136569.6691)+_xll.RiskMean(Model!N26,3)</f>
        <v>#NAME?</v>
      </c>
      <c r="ABS2">
        <f>Model!$O$35</f>
        <v>143091.6366</v>
      </c>
      <c r="ABT2" t="e">
        <f ca="1">RiskValStatic(143091.6366)+_xll.RiskMean(Model!O26,3)</f>
        <v>#NAME?</v>
      </c>
      <c r="ABU2">
        <f>Model!$P$35</f>
        <v>147817.52480000001</v>
      </c>
      <c r="ABV2" t="e">
        <f ca="1">RiskValStatic(147817.5248)+_xll.RiskMean(Model!P26,3)</f>
        <v>#NAME?</v>
      </c>
      <c r="ABW2">
        <f>Model!$Q$35</f>
        <v>154924.1924</v>
      </c>
      <c r="ABX2" t="e">
        <f ca="1">RiskValStatic(154924.1924)+_xll.RiskMean(Model!Q26,3)</f>
        <v>#NAME?</v>
      </c>
      <c r="ABY2">
        <f>Model!$R$35</f>
        <v>158197.902</v>
      </c>
      <c r="ABZ2" t="e">
        <f ca="1">RiskValStatic(158197.902)+_xll.RiskMean(Model!R26,3)</f>
        <v>#NAME?</v>
      </c>
      <c r="ACA2">
        <f>Model!$S$35</f>
        <v>160401.6189</v>
      </c>
      <c r="ACB2" t="e">
        <f ca="1">RiskValStatic(160401.6189)+_xll.RiskMean(Model!S26,3)</f>
        <v>#NAME?</v>
      </c>
      <c r="ACC2">
        <f>Model!$T$35</f>
        <v>169134.93359999999</v>
      </c>
      <c r="ACD2" t="e">
        <f ca="1">RiskValStatic(169134.9336)+_xll.RiskMean(Model!T26,3)</f>
        <v>#NAME?</v>
      </c>
      <c r="ACE2">
        <f>Model!$U$35</f>
        <v>174843.22659999999</v>
      </c>
      <c r="ACF2" t="e">
        <f ca="1">RiskValStatic(174843.2266)+_xll.RiskMean(Model!U26,3)</f>
        <v>#NAME?</v>
      </c>
      <c r="ACG2">
        <f>Model!$V$35</f>
        <v>180694.2856</v>
      </c>
      <c r="ACH2" t="e">
        <f ca="1">RiskValStatic(180694.2856)+_xll.RiskMean(Model!V26,3)</f>
        <v>#NAME?</v>
      </c>
      <c r="ACI2">
        <f>Model!$W$35</f>
        <v>187951.1207</v>
      </c>
      <c r="ACJ2" t="e">
        <f ca="1">RiskValStatic(187951.1207)+_xll.RiskMean(Model!W26,3)</f>
        <v>#NAME?</v>
      </c>
      <c r="ACK2">
        <f>Model!$X$35</f>
        <v>192044.47169999999</v>
      </c>
      <c r="ACL2" t="e">
        <f ca="1">RiskValStatic(192044.4717)+_xll.RiskMean(Model!X26,3)</f>
        <v>#NAME?</v>
      </c>
      <c r="ACM2">
        <f>Model!$Y$35</f>
        <v>199483.37640000001</v>
      </c>
      <c r="ACN2" t="e">
        <f ca="1">RiskValStatic(199483.3764)+_xll.RiskMean(Model!Y26,3)</f>
        <v>#NAME?</v>
      </c>
      <c r="ACO2">
        <f>Model!$Z$35</f>
        <v>202851.26010000001</v>
      </c>
      <c r="ACP2" t="e">
        <f ca="1">RiskValStatic(202851.2601)+_xll.RiskMean(Model!Z26,3)</f>
        <v>#NAME?</v>
      </c>
      <c r="ACQ2">
        <f>Model!$AA$35</f>
        <v>208019.7322</v>
      </c>
      <c r="ACR2" t="e">
        <f ca="1">RiskValStatic(208019.7322)+_xll.RiskMean(Model!AA26,3)</f>
        <v>#NAME?</v>
      </c>
      <c r="ACS2">
        <f>Model!$AB$35</f>
        <v>208146.28599999999</v>
      </c>
      <c r="ACT2" t="e">
        <f ca="1">RiskValStatic(208146.286)+_xll.RiskMean(Model!AB26,3)</f>
        <v>#NAME?</v>
      </c>
      <c r="ACU2">
        <f>Model!$AC$35</f>
        <v>209118.23509999999</v>
      </c>
      <c r="ACV2" t="e">
        <f ca="1">RiskValStatic(209118.2351)+_xll.RiskMean(Model!AC26,3)</f>
        <v>#NAME?</v>
      </c>
      <c r="ACW2">
        <f>Model!$AD$35</f>
        <v>209182.6</v>
      </c>
      <c r="ACX2" t="e">
        <f ca="1">RiskValStatic(209182.6)+_xll.RiskMean(Model!AD26,3)</f>
        <v>#NAME?</v>
      </c>
      <c r="ACY2">
        <f>Model!$AE$35</f>
        <v>208534.9516</v>
      </c>
      <c r="ACZ2" t="e">
        <f ca="1">RiskValStatic(208534.9516)+_xll.RiskMean(Model!AE26,3)</f>
        <v>#NAME?</v>
      </c>
      <c r="ADA2">
        <f>Model!$B$36</f>
        <v>2688666.4079999998</v>
      </c>
      <c r="ADB2" t="e">
        <f ca="1">RiskValStatic(2688666.408)+_xll.RiskMean(Model!B$27,3)</f>
        <v>#NAME?</v>
      </c>
      <c r="ADC2">
        <f>Model!$C$36</f>
        <v>2699372.6869999999</v>
      </c>
      <c r="ADD2" t="e">
        <f ca="1">RiskValStatic(2699372.687)+_xll.RiskMean(Model!C$27,3)</f>
        <v>#NAME?</v>
      </c>
      <c r="ADE2">
        <f>Model!$D$36</f>
        <v>2705346.6069999998</v>
      </c>
      <c r="ADF2" t="e">
        <f ca="1">RiskValStatic(2705346.607)+_xll.RiskMean(Model!D$27,3)</f>
        <v>#NAME?</v>
      </c>
      <c r="ADG2">
        <f>Model!$E$36</f>
        <v>2705928.6880000001</v>
      </c>
      <c r="ADH2" t="e">
        <f ca="1">RiskValStatic(2705928.688)+_xll.RiskMean(Model!E$27,3)</f>
        <v>#NAME?</v>
      </c>
      <c r="ADI2">
        <f>Model!$F$36</f>
        <v>2698775.97</v>
      </c>
      <c r="ADJ2" t="e">
        <f ca="1">RiskValStatic(2698775.97)+_xll.RiskMean(Model!F$27,3)</f>
        <v>#NAME?</v>
      </c>
      <c r="ADK2">
        <f>Model!$G$36</f>
        <v>2683572.344</v>
      </c>
      <c r="ADL2" t="e">
        <f ca="1">RiskValStatic(2683572.344)+_xll.RiskMean(Model!G$27,3)</f>
        <v>#NAME?</v>
      </c>
      <c r="ADM2">
        <f>Model!$H$36</f>
        <v>2666483.5499999998</v>
      </c>
      <c r="ADN2" t="e">
        <f ca="1">RiskValStatic(2666483.55)+_xll.RiskMean(Model!H$27,3)</f>
        <v>#NAME?</v>
      </c>
      <c r="ADO2">
        <f>Model!$I$36</f>
        <v>2642637.2650000001</v>
      </c>
      <c r="ADP2" t="e">
        <f ca="1">RiskValStatic(2642637.265)+_xll.RiskMean(Model!I$27,3)</f>
        <v>#NAME?</v>
      </c>
      <c r="ADQ2">
        <f>Model!$J$36</f>
        <v>2614140.1519999998</v>
      </c>
      <c r="ADR2" t="e">
        <f ca="1">RiskValStatic(2614140.152)+_xll.RiskMean(Model!J$27,3)</f>
        <v>#NAME?</v>
      </c>
      <c r="ADS2">
        <f>Model!$K$36</f>
        <v>2577000.4530000002</v>
      </c>
      <c r="ADT2" t="e">
        <f ca="1">RiskValStatic(2577000.453)+_xll.RiskMean(Model!K$27,3)</f>
        <v>#NAME?</v>
      </c>
      <c r="ADU2">
        <f>Model!$L$36</f>
        <v>2533934.9509999999</v>
      </c>
      <c r="ADV2" t="e">
        <f ca="1">RiskValStatic(2533934.951)+_xll.RiskMean(Model!L$27,3)</f>
        <v>#NAME?</v>
      </c>
      <c r="ADW2">
        <f>Model!$M$36</f>
        <v>2486499.7059999998</v>
      </c>
      <c r="ADX2" t="e">
        <f ca="1">RiskValStatic(2486499.706)+_xll.RiskMean(Model!M$27,3)</f>
        <v>#NAME?</v>
      </c>
      <c r="ADY2">
        <f>Model!$N$36</f>
        <v>2432349.7880000002</v>
      </c>
      <c r="ADZ2" t="e">
        <f ca="1">RiskValStatic(2432349.788)+_xll.RiskMean(Model!N$27,3)</f>
        <v>#NAME?</v>
      </c>
      <c r="AEA2">
        <f>Model!$O$36</f>
        <v>2368750.6120000002</v>
      </c>
      <c r="AEB2" t="e">
        <f ca="1">RiskValStatic(2368750.612)+_xll.RiskMean(Model!O$27,3)</f>
        <v>#NAME?</v>
      </c>
      <c r="AEC2">
        <f>Model!$P$36</f>
        <v>2296721.4939999999</v>
      </c>
      <c r="AED2" t="e">
        <f ca="1">RiskValStatic(2296721.494)+_xll.RiskMean(Model!P$27,3)</f>
        <v>#NAME?</v>
      </c>
      <c r="AEE2">
        <f>Model!$Q$36</f>
        <v>2217805.6140000001</v>
      </c>
      <c r="AEF2" t="e">
        <f ca="1">RiskValStatic(2217805.614)+_xll.RiskMean(Model!Q$27,3)</f>
        <v>#NAME?</v>
      </c>
      <c r="AEG2">
        <f>Model!$R$36</f>
        <v>2129415.59</v>
      </c>
      <c r="AEH2" t="e">
        <f ca="1">RiskValStatic(2129415.59)+_xll.RiskMean(Model!R$27,3)</f>
        <v>#NAME?</v>
      </c>
      <c r="AEI2">
        <f>Model!$S$36</f>
        <v>2035100.156</v>
      </c>
      <c r="AEJ2" t="e">
        <f ca="1">RiskValStatic(2035100.156)+_xll.RiskMean(Model!S$27,3)</f>
        <v>#NAME?</v>
      </c>
      <c r="AEK2">
        <f>Model!$T$36</f>
        <v>1935751.5419999999</v>
      </c>
      <c r="AEL2" t="e">
        <f ca="1">RiskValStatic(1935751.542)+_xll.RiskMean(Model!T$27,3)</f>
        <v>#NAME?</v>
      </c>
      <c r="AEM2">
        <f>Model!$U$36</f>
        <v>1824689.1540000001</v>
      </c>
      <c r="AEN2" t="e">
        <f ca="1">RiskValStatic(1824689.154)+_xll.RiskMean(Model!U$27,3)</f>
        <v>#NAME?</v>
      </c>
      <c r="AEO2">
        <f>Model!$V$36</f>
        <v>1704586.6029999999</v>
      </c>
      <c r="AEP2" t="e">
        <f ca="1">RiskValStatic(1704586.603)+_xll.RiskMean(Model!V$27,3)</f>
        <v>#NAME?</v>
      </c>
      <c r="AEQ2">
        <f>Model!$W$36</f>
        <v>1575029.915</v>
      </c>
      <c r="AER2" t="e">
        <f ca="1">RiskValStatic(1575029.915)+_xll.RiskMean(Model!W$27,3)</f>
        <v>#NAME?</v>
      </c>
      <c r="AES2">
        <f>Model!$X$36</f>
        <v>1434329.692</v>
      </c>
      <c r="AET2" t="e">
        <f ca="1">RiskValStatic(1434329.692)+_xll.RiskMean(Model!X$27,3)</f>
        <v>#NAME?</v>
      </c>
      <c r="AEU2">
        <f>Model!$Y$36</f>
        <v>1285315.111</v>
      </c>
      <c r="AEV2" t="e">
        <f ca="1">RiskValStatic(1285315.111)+_xll.RiskMean(Model!Y$27,3)</f>
        <v>#NAME?</v>
      </c>
      <c r="AEW2">
        <f>Model!$Z$36</f>
        <v>1124391.1880000001</v>
      </c>
      <c r="AEX2" t="e">
        <f ca="1">RiskValStatic(1124391.188)+_xll.RiskMean(Model!Z$27,3)</f>
        <v>#NAME?</v>
      </c>
      <c r="AEY2">
        <f>Model!$AA$36</f>
        <v>955271.66330000001</v>
      </c>
      <c r="AEZ2" t="e">
        <f ca="1">RiskValStatic(955271.6633)+_xll.RiskMean(Model!AA$27,3)</f>
        <v>#NAME?</v>
      </c>
      <c r="AFA2">
        <f>Model!$AB$36</f>
        <v>775910.08089999994</v>
      </c>
      <c r="AFB2" t="e">
        <f ca="1">RiskValStatic(775910.0809)+_xll.RiskMean(Model!AB$27,3)</f>
        <v>#NAME?</v>
      </c>
      <c r="AFC2">
        <f>Model!$AC$36</f>
        <v>591041.09739999997</v>
      </c>
      <c r="AFD2" t="e">
        <f ca="1">RiskValStatic(591041.0974)+_xll.RiskMean(Model!AC$27,3)</f>
        <v>#NAME?</v>
      </c>
      <c r="AFE2">
        <f>Model!$AD$36</f>
        <v>399654.09519999998</v>
      </c>
      <c r="AFF2" t="e">
        <f ca="1">RiskValStatic(399654.0952)+_xll.RiskMean(Model!AD$27,3)</f>
        <v>#NAME?</v>
      </c>
      <c r="AFG2">
        <f>Model!$AE$36</f>
        <v>202461.11809999999</v>
      </c>
      <c r="AFH2" t="e">
        <f ca="1">RiskValStatic(202461.1181)+_xll.RiskMean(Model!AE$27,3)</f>
        <v>#NAME?</v>
      </c>
      <c r="AFI2">
        <f>Model!$B$40</f>
        <v>205565.87008500006</v>
      </c>
      <c r="AFJ2" s="79" t="e">
        <f ca="1">_xll.RiskOutput("WW Net W/INS")+Model!B13-Model!B11+Model!B39</f>
        <v>#VALUE!</v>
      </c>
      <c r="AFK2">
        <f>Model!$C$40</f>
        <v>205565.87008500006</v>
      </c>
      <c r="AFL2" s="79" t="e">
        <f ca="1">_xll.RiskOutput("WW Net W/INS")+Model!C13-Model!C11+Model!C39</f>
        <v>#VALUE!</v>
      </c>
      <c r="AFM2">
        <f>Model!$D$40</f>
        <v>205565.87008500006</v>
      </c>
      <c r="AFN2" s="79" t="e">
        <f ca="1">_xll.RiskOutput("WW Net W/INS")+Model!D13-Model!D11+Model!D39</f>
        <v>#VALUE!</v>
      </c>
      <c r="AFO2">
        <f>Model!$E$40</f>
        <v>205565.87008500006</v>
      </c>
      <c r="AFP2" s="79" t="e">
        <f ca="1">_xll.RiskOutput("WW Net W/INS")+Model!E13-Model!E11+Model!E39</f>
        <v>#VALUE!</v>
      </c>
      <c r="AFQ2">
        <f>Model!$F$40</f>
        <v>205565.87008500006</v>
      </c>
      <c r="AFR2" s="79" t="e">
        <f ca="1">_xll.RiskOutput("WW Net W/INS")+Model!F13-Model!F11+Model!F39</f>
        <v>#VALUE!</v>
      </c>
      <c r="AFS2">
        <f>Model!$G$40</f>
        <v>205565.87008500006</v>
      </c>
      <c r="AFT2" s="79" t="e">
        <f ca="1">_xll.RiskOutput("WW Net W/INS")+Model!G13-Model!G11+Model!G39</f>
        <v>#VALUE!</v>
      </c>
      <c r="AFU2">
        <f>Model!$H$40</f>
        <v>205565.87008500006</v>
      </c>
      <c r="AFV2" s="79" t="e">
        <f ca="1">_xll.RiskOutput("WW Net W/INS")+Model!H13-Model!H11+Model!H39</f>
        <v>#VALUE!</v>
      </c>
      <c r="AFW2">
        <f>Model!$I$40</f>
        <v>205565.87008500006</v>
      </c>
      <c r="AFX2" s="79" t="e">
        <f ca="1">_xll.RiskOutput("WW Net W/INS")+Model!I13-Model!I11+Model!I39</f>
        <v>#VALUE!</v>
      </c>
      <c r="AFY2">
        <f>Model!$J$40</f>
        <v>205565.87008500006</v>
      </c>
      <c r="AFZ2" s="79" t="e">
        <f ca="1">_xll.RiskOutput("WW Net W/INS")+Model!J13-Model!J11+Model!J39</f>
        <v>#VALUE!</v>
      </c>
      <c r="AGA2">
        <f>Model!$K$40</f>
        <v>205565.87008500006</v>
      </c>
      <c r="AGB2" s="79" t="e">
        <f ca="1">_xll.RiskOutput("WW Net W/INS")+Model!K13-Model!K11+Model!K39</f>
        <v>#VALUE!</v>
      </c>
      <c r="AGC2">
        <f>Model!$L$40</f>
        <v>205565.87008500006</v>
      </c>
      <c r="AGD2" s="79" t="e">
        <f ca="1">_xll.RiskOutput("WW Net W/INS")+Model!L13-Model!L11+Model!L39</f>
        <v>#VALUE!</v>
      </c>
      <c r="AGE2">
        <f>Model!$M$40</f>
        <v>205565.87008500006</v>
      </c>
      <c r="AGF2" s="79" t="e">
        <f ca="1">_xll.RiskOutput("WW Net W/INS")+Model!M13-Model!M11+Model!M39</f>
        <v>#VALUE!</v>
      </c>
      <c r="AGG2">
        <f>Model!$N$40</f>
        <v>205565.87008500006</v>
      </c>
      <c r="AGH2" s="79" t="e">
        <f ca="1">_xll.RiskOutput("WW Net W/INS")+Model!N13-Model!N11+Model!N39</f>
        <v>#VALUE!</v>
      </c>
      <c r="AGI2">
        <f>Model!$O$40</f>
        <v>205565.87008500006</v>
      </c>
      <c r="AGJ2" s="79" t="e">
        <f ca="1">_xll.RiskOutput("WW Net W/INS")+Model!O13-Model!O11+Model!O39</f>
        <v>#VALUE!</v>
      </c>
      <c r="AGK2">
        <f>Model!$P$40</f>
        <v>205565.87008500006</v>
      </c>
      <c r="AGL2" s="79" t="e">
        <f ca="1">_xll.RiskOutput("WW Net W/INS")+Model!P13-Model!P11+Model!P39</f>
        <v>#VALUE!</v>
      </c>
      <c r="AGM2">
        <f>Model!$Q$40</f>
        <v>205565.87008500006</v>
      </c>
      <c r="AGN2" s="79" t="e">
        <f ca="1">_xll.RiskOutput("WW Net W/INS")+Model!Q13-Model!Q11+Model!Q39</f>
        <v>#VALUE!</v>
      </c>
      <c r="AGO2">
        <f>Model!$R$40</f>
        <v>205565.87008500006</v>
      </c>
      <c r="AGP2" s="79" t="e">
        <f ca="1">_xll.RiskOutput("WW Net W/INS")+Model!R13-Model!R11+Model!R39</f>
        <v>#VALUE!</v>
      </c>
      <c r="AGQ2">
        <f>Model!$S$40</f>
        <v>205565.87008500006</v>
      </c>
      <c r="AGR2" s="79" t="e">
        <f ca="1">_xll.RiskOutput("WW Net W/INS")+Model!S13-Model!S11+Model!S39</f>
        <v>#VALUE!</v>
      </c>
      <c r="AGS2">
        <f>Model!$T$40</f>
        <v>205565.87008500006</v>
      </c>
      <c r="AGT2" s="79" t="e">
        <f ca="1">_xll.RiskOutput("WW Net W/INS")+Model!T13-Model!T11+Model!T39</f>
        <v>#VALUE!</v>
      </c>
      <c r="AGU2">
        <f>Model!$U$40</f>
        <v>205565.87008500006</v>
      </c>
      <c r="AGV2" s="79" t="e">
        <f ca="1">_xll.RiskOutput("WW Net W/INS")+Model!U13-Model!U11+Model!U39</f>
        <v>#VALUE!</v>
      </c>
      <c r="AGW2">
        <f>Model!$V$40</f>
        <v>205565.87008500006</v>
      </c>
      <c r="AGX2" s="79" t="e">
        <f ca="1">_xll.RiskOutput("WW Net W/INS")+Model!V13-Model!V11+Model!V39</f>
        <v>#VALUE!</v>
      </c>
      <c r="AGY2">
        <f>Model!$W$40</f>
        <v>205565.87008500006</v>
      </c>
      <c r="AGZ2" s="79" t="e">
        <f ca="1">_xll.RiskOutput("WW Net W/INS")+Model!W13-Model!W11+Model!W39</f>
        <v>#VALUE!</v>
      </c>
      <c r="AHA2">
        <f>Model!$X$40</f>
        <v>205565.87008500006</v>
      </c>
      <c r="AHB2" s="79" t="e">
        <f ca="1">_xll.RiskOutput("WW Net W/INS")+Model!X13-Model!X11+Model!X39</f>
        <v>#VALUE!</v>
      </c>
      <c r="AHC2">
        <f>Model!$Y$40</f>
        <v>205565.87008500006</v>
      </c>
      <c r="AHD2" s="79" t="e">
        <f ca="1">_xll.RiskOutput("WW Net W/INS")+Model!Y13-Model!Y11+Model!Y39</f>
        <v>#VALUE!</v>
      </c>
      <c r="AHE2">
        <f>Model!$Z$40</f>
        <v>205565.87008500006</v>
      </c>
      <c r="AHF2" s="79" t="e">
        <f ca="1">_xll.RiskOutput("WW Net W/INS")+Model!Z13-Model!Z11+Model!Z39</f>
        <v>#VALUE!</v>
      </c>
      <c r="AHG2">
        <f>Model!$AA$40</f>
        <v>205565.87008500006</v>
      </c>
      <c r="AHH2" s="79" t="e">
        <f ca="1">_xll.RiskOutput("WW Net W/INS")+Model!AA13-Model!AA11+Model!AA39</f>
        <v>#VALUE!</v>
      </c>
      <c r="AHI2">
        <f>Model!$AB$40</f>
        <v>205565.87008500006</v>
      </c>
      <c r="AHJ2" s="79" t="e">
        <f ca="1">_xll.RiskOutput("WW Net W/INS")+Model!AB13-Model!AB11+Model!AB39</f>
        <v>#VALUE!</v>
      </c>
      <c r="AHK2">
        <f>Model!$AC$40</f>
        <v>205565.87008500006</v>
      </c>
      <c r="AHL2" s="79" t="e">
        <f ca="1">_xll.RiskOutput("WW Net W/INS")+Model!AC13-Model!AC11+Model!AC39</f>
        <v>#VALUE!</v>
      </c>
      <c r="AHM2">
        <f>Model!$AD$40</f>
        <v>205565.87008500006</v>
      </c>
      <c r="AHN2" s="79" t="e">
        <f ca="1">_xll.RiskOutput("WW Net W/INS")+Model!AD13-Model!AD11+Model!AD39</f>
        <v>#VALUE!</v>
      </c>
      <c r="AHO2">
        <f>Model!$AE$40</f>
        <v>205565.87008500006</v>
      </c>
      <c r="AHP2" s="79" t="e">
        <f ca="1">_xll.RiskOutput("WW Net W/INS")+Model!AE13-Model!AE11+Model!AE39</f>
        <v>#VALUE!</v>
      </c>
      <c r="AHQ2">
        <f>Model!$B$41</f>
        <v>4029181.780053765</v>
      </c>
      <c r="AHR2" s="4" t="e">
        <f ca="1">_xll.RiskOutput("WW NPV") + NPV(3%,Model!B40:$AE40)</f>
        <v>#VALUE!</v>
      </c>
      <c r="AHS2">
        <f>Model!$C$41</f>
        <v>3944491.363370378</v>
      </c>
      <c r="AHT2" s="4" t="e">
        <f ca="1">_xll.RiskOutput("WW NPV") + NPV(3%,Model!C40:$AE40)</f>
        <v>#VALUE!</v>
      </c>
      <c r="AHU2">
        <f>Model!$D$41</f>
        <v>3857260.2341864896</v>
      </c>
      <c r="AHV2" s="4" t="e">
        <f ca="1">_xll.RiskOutput("WW NPV") + NPV(3%,Model!D40:$AE40)</f>
        <v>#VALUE!</v>
      </c>
      <c r="AHW2">
        <f>Model!$E$41</f>
        <v>3767412.1711270842</v>
      </c>
      <c r="AHX2" s="4" t="e">
        <f ca="1">_xll.RiskOutput("WW NPV") + NPV(3%,Model!E40:$AE40)</f>
        <v>#VALUE!</v>
      </c>
      <c r="AHY2">
        <f>Model!$F$41</f>
        <v>3674868.6661758972</v>
      </c>
      <c r="AHZ2" s="4" t="e">
        <f ca="1">_xll.RiskOutput("WW NPV") + NPV(3%,Model!F40:$AE40)</f>
        <v>#VALUE!</v>
      </c>
      <c r="AIA2">
        <f>Model!$G$41</f>
        <v>3579548.8560761739</v>
      </c>
      <c r="AIB2" s="4" t="e">
        <f ca="1">_xll.RiskOutput("WW NPV") + NPV(3%,Model!G40:$AE40)</f>
        <v>#VALUE!</v>
      </c>
      <c r="AIC2">
        <f>Model!$H$41</f>
        <v>3481369.4516734593</v>
      </c>
      <c r="AID2" s="4" t="e">
        <f ca="1">_xll.RiskOutput("WW NPV") + NPV(3%,Model!H40:$AE40)</f>
        <v>#VALUE!</v>
      </c>
      <c r="AIE2">
        <f>Model!$I$41</f>
        <v>3380244.6651386633</v>
      </c>
      <c r="AIF2" s="4" t="e">
        <f ca="1">_xll.RiskOutput("WW NPV") + NPV(3%,Model!I40:$AE40)</f>
        <v>#VALUE!</v>
      </c>
      <c r="AIG2">
        <f>Model!$J$41</f>
        <v>3276086.1350078234</v>
      </c>
      <c r="AIH2" s="4" t="e">
        <f ca="1">_xll.RiskOutput("WW NPV") + NPV(3%,Model!J40:$AE40)</f>
        <v>#VALUE!</v>
      </c>
      <c r="AII2">
        <f>Model!$K$41</f>
        <v>3168802.8489730582</v>
      </c>
      <c r="AIJ2" s="4" t="e">
        <f ca="1">_xll.RiskOutput("WW NPV") + NPV(3%,Model!K40:$AE40)</f>
        <v>#VALUE!</v>
      </c>
      <c r="AIK2">
        <f>Model!$L$41</f>
        <v>3058301.06435725</v>
      </c>
      <c r="AIL2" s="4" t="e">
        <f ca="1">_xll.RiskOutput("WW NPV") + NPV(3%,Model!L40:$AE40)</f>
        <v>#VALUE!</v>
      </c>
      <c r="AIM2">
        <f>Model!$M$41</f>
        <v>2944484.2262029676</v>
      </c>
      <c r="AIN2" s="4" t="e">
        <f ca="1">_xll.RiskOutput("WW NPV") + NPV(3%,Model!M40:$AE40)</f>
        <v>#VALUE!</v>
      </c>
      <c r="AIO2">
        <f>Model!$N$41</f>
        <v>2827252.8829040565</v>
      </c>
      <c r="AIP2" s="4" t="e">
        <f ca="1">_xll.RiskOutput("WW NPV") + NPV(3%,Model!N40:$AE40)</f>
        <v>#VALUE!</v>
      </c>
      <c r="AIQ2">
        <f>Model!$O$41</f>
        <v>2706504.5993061787</v>
      </c>
      <c r="AIR2" s="4" t="e">
        <f ca="1">_xll.RiskOutput("WW NPV") + NPV(3%,Model!O40:$AE40)</f>
        <v>#VALUE!</v>
      </c>
      <c r="AIS2">
        <f>Model!$P$41</f>
        <v>2582133.8672003639</v>
      </c>
      <c r="AIT2" s="4" t="e">
        <f ca="1">_xll.RiskOutput("WW NPV") + NPV(3%,Model!P40:$AE40)</f>
        <v>#VALUE!</v>
      </c>
      <c r="AIU2">
        <f>Model!$Q$41</f>
        <v>2454032.013131375</v>
      </c>
      <c r="AIV2" s="4" t="e">
        <f ca="1">_xll.RiskOutput("WW NPV") + NPV(3%,Model!Q40:$AE40)</f>
        <v>#VALUE!</v>
      </c>
      <c r="AIW2">
        <f>Model!$R$41</f>
        <v>2322087.1034403164</v>
      </c>
      <c r="AIX2" s="4" t="e">
        <f ca="1">_xll.RiskOutput("WW NPV") + NPV(3%,Model!R40:$AE40)</f>
        <v>#VALUE!</v>
      </c>
      <c r="AIY2">
        <f>Model!$S$41</f>
        <v>2186183.8464585259</v>
      </c>
      <c r="AIZ2" s="4" t="e">
        <f ca="1">_xll.RiskOutput("WW NPV") + NPV(3%,Model!S40:$AE40)</f>
        <v>#VALUE!</v>
      </c>
      <c r="AJA2">
        <f>Model!$T$41</f>
        <v>2046203.4917672814</v>
      </c>
      <c r="AJB2" s="4" t="e">
        <f ca="1">_xll.RiskOutput("WW NPV") + NPV(3%,Model!T40:$AE40)</f>
        <v>#VALUE!</v>
      </c>
      <c r="AJC2">
        <f>Model!$U$41</f>
        <v>1902023.7264353</v>
      </c>
      <c r="AJD2" s="4" t="e">
        <f ca="1">_xll.RiskOutput("WW NPV") + NPV(3%,Model!U40:$AE40)</f>
        <v>#VALUE!</v>
      </c>
      <c r="AJE2">
        <f>Model!$V$41</f>
        <v>1753518.5681433589</v>
      </c>
      <c r="AJF2" s="4" t="e">
        <f ca="1">_xll.RiskOutput("WW NPV") + NPV(3%,Model!V40:$AE40)</f>
        <v>#VALUE!</v>
      </c>
      <c r="AJG2">
        <f>Model!$W$41</f>
        <v>1600558.2551026596</v>
      </c>
      <c r="AJH2" s="4" t="e">
        <f ca="1">_xll.RiskOutput("WW NPV") + NPV(3%,Model!W40:$AE40)</f>
        <v>#VALUE!</v>
      </c>
      <c r="AJI2">
        <f>Model!$X$41</f>
        <v>1443009.1326707394</v>
      </c>
      <c r="AJJ2" s="4" t="e">
        <f ca="1">_xll.RiskOutput("WW NPV") + NPV(3%,Model!X40:$AE40)</f>
        <v>#VALUE!</v>
      </c>
      <c r="AJK2">
        <f>Model!$Y$41</f>
        <v>1280733.5365658617</v>
      </c>
      <c r="AJL2" s="4" t="e">
        <f ca="1">_xll.RiskOutput("WW NPV") + NPV(3%,Model!Y40:$AE40)</f>
        <v>#VALUE!</v>
      </c>
      <c r="AJM2">
        <f>Model!$Z$41</f>
        <v>1113589.6725778375</v>
      </c>
      <c r="AJN2" s="4" t="e">
        <f ca="1">_xll.RiskOutput("WW NPV") + NPV(3%,Model!Z40:$AE40)</f>
        <v>#VALUE!</v>
      </c>
      <c r="AJO2">
        <f>Model!$AA$41</f>
        <v>941431.49267017248</v>
      </c>
      <c r="AJP2" s="4" t="e">
        <f ca="1">_xll.RiskOutput("WW NPV") + NPV(3%,Model!AA40:$AE40)</f>
        <v>#VALUE!</v>
      </c>
      <c r="AJQ2">
        <f>Model!$AB$41</f>
        <v>764108.56736527767</v>
      </c>
      <c r="AJR2" s="4" t="e">
        <f ca="1">_xll.RiskOutput("WW NPV") + NPV(3%,Model!AB40:$AE40)</f>
        <v>#VALUE!</v>
      </c>
      <c r="AJS2">
        <f>Model!$AC$41</f>
        <v>581465.95430123596</v>
      </c>
      <c r="AJT2" s="4" t="e">
        <f ca="1">_xll.RiskOutput("WW NPV") + NPV(3%,Model!AC40:$AE40)</f>
        <v>#VALUE!</v>
      </c>
      <c r="AJU2">
        <f>Model!$AD$41</f>
        <v>393344.062845273</v>
      </c>
      <c r="AJV2" s="4" t="e">
        <f ca="1">_xll.RiskOutput("WW NPV") + NPV(3%,Model!AD40:$AE40)</f>
        <v>#VALUE!</v>
      </c>
      <c r="AJW2">
        <f>Model!$AE$41</f>
        <v>199578.51464563113</v>
      </c>
      <c r="AJX2" s="4" t="e">
        <f ca="1">_xll.RiskOutput("WW NPV") + NPV(3%,Model!AE40:$AE40)</f>
        <v>#VALUE!</v>
      </c>
      <c r="AJY2">
        <f>Model!$B$43</f>
        <v>204078.9761</v>
      </c>
      <c r="AJZ2" t="e">
        <f ca="1">RiskValStatic(204078.9761)+_xll.RiskMean(Model!B40,1)</f>
        <v>#NAME?</v>
      </c>
      <c r="AKA2">
        <f>Model!$C$43</f>
        <v>204527.96290000001</v>
      </c>
      <c r="AKB2" t="e">
        <f ca="1">RiskValStatic(204527.9629)+_xll.RiskMean(Model!C40,1)</f>
        <v>#NAME?</v>
      </c>
      <c r="AKC2">
        <f>Model!$D$43</f>
        <v>201621.6629</v>
      </c>
      <c r="AKD2" t="e">
        <f ca="1">RiskValStatic(201621.6629)+_xll.RiskMean(Model!D40,1)</f>
        <v>#NAME?</v>
      </c>
      <c r="AKE2">
        <f>Model!$E$43</f>
        <v>203321.57199999999</v>
      </c>
      <c r="AKF2" t="e">
        <f ca="1">RiskValStatic(203321.572)+_xll.RiskMean(Model!E40,1)</f>
        <v>#NAME?</v>
      </c>
      <c r="AKG2">
        <f>Model!$F$43</f>
        <v>207507.1887</v>
      </c>
      <c r="AKH2" t="e">
        <f ca="1">RiskValStatic(207507.1887)+_xll.RiskMean(Model!F40,1)</f>
        <v>#NAME?</v>
      </c>
      <c r="AKI2">
        <f>Model!$G$43</f>
        <v>202414.7519</v>
      </c>
      <c r="AKJ2" t="e">
        <f ca="1">RiskValStatic(202414.7519)+_xll.RiskMean(Model!G40,1)</f>
        <v>#NAME?</v>
      </c>
      <c r="AKK2">
        <f>Model!$H$43</f>
        <v>205022.77470000001</v>
      </c>
      <c r="AKL2" t="e">
        <f ca="1">RiskValStatic(205022.7747)+_xll.RiskMean(Model!H40,1)</f>
        <v>#NAME?</v>
      </c>
      <c r="AKM2">
        <f>Model!$I$43</f>
        <v>201610.50289999999</v>
      </c>
      <c r="AKN2" t="e">
        <f ca="1">RiskValStatic(201610.5029)+_xll.RiskMean(Model!I40,1)</f>
        <v>#NAME?</v>
      </c>
      <c r="AKO2">
        <f>Model!$J$43</f>
        <v>203363.4999</v>
      </c>
      <c r="AKP2" t="e">
        <f ca="1">RiskValStatic(203363.4999)+_xll.RiskMean(Model!J40,1)</f>
        <v>#NAME?</v>
      </c>
      <c r="AKQ2">
        <f>Model!$K$43</f>
        <v>205583.50380000001</v>
      </c>
      <c r="AKR2" t="e">
        <f ca="1">RiskValStatic(205583.5038)+_xll.RiskMean(Model!K40,1)</f>
        <v>#NAME?</v>
      </c>
      <c r="AKS2">
        <f>Model!$L$43</f>
        <v>202767.4516</v>
      </c>
      <c r="AKT2" t="e">
        <f ca="1">RiskValStatic(202767.4516)+_xll.RiskMean(Model!L40,1)</f>
        <v>#NAME?</v>
      </c>
      <c r="AKU2">
        <f>Model!$M$43</f>
        <v>202614.43530000001</v>
      </c>
      <c r="AKV2" t="e">
        <f ca="1">RiskValStatic(202614.4353)+_xll.RiskMean(Model!M40,1)</f>
        <v>#NAME?</v>
      </c>
      <c r="AKW2">
        <f>Model!$N$43</f>
        <v>204068.2432</v>
      </c>
      <c r="AKX2" t="e">
        <f ca="1">RiskValStatic(204068.2432)+_xll.RiskMean(Model!N40,1)</f>
        <v>#NAME?</v>
      </c>
      <c r="AKY2">
        <f>Model!$O$43</f>
        <v>204719.476</v>
      </c>
      <c r="AKZ2" t="e">
        <f ca="1">RiskValStatic(204719.476)+_xll.RiskMean(Model!O40,1)</f>
        <v>#NAME?</v>
      </c>
      <c r="ALA2">
        <f>Model!$P$43</f>
        <v>204259.43210000001</v>
      </c>
      <c r="ALB2" t="e">
        <f ca="1">RiskValStatic(204259.4321)+_xll.RiskMean(Model!P40,1)</f>
        <v>#NAME?</v>
      </c>
      <c r="ALC2">
        <f>Model!$Q$43</f>
        <v>205265.554</v>
      </c>
      <c r="ALD2" t="e">
        <f ca="1">RiskValStatic(205265.554)+_xll.RiskMean(Model!Q40,1)</f>
        <v>#NAME?</v>
      </c>
      <c r="ALE2">
        <f>Model!$R$43</f>
        <v>202674.23620000001</v>
      </c>
      <c r="ALF2" t="e">
        <f ca="1">RiskValStatic(202674.2362)+_xll.RiskMean(Model!R40,1)</f>
        <v>#NAME?</v>
      </c>
      <c r="ALG2">
        <f>Model!$S$43</f>
        <v>201576.7867</v>
      </c>
      <c r="ALH2" t="e">
        <f ca="1">RiskValStatic(201576.7867)+_xll.RiskMean(Model!S40,1)</f>
        <v>#NAME?</v>
      </c>
      <c r="ALI2">
        <f>Model!$T$43</f>
        <v>202562.57509999999</v>
      </c>
      <c r="ALJ2" t="e">
        <f ca="1">RiskValStatic(202562.5751)+_xll.RiskMean(Model!T40,1)</f>
        <v>#NAME?</v>
      </c>
      <c r="ALK2">
        <f>Model!$U$43</f>
        <v>198983.92749999999</v>
      </c>
      <c r="ALL2" t="e">
        <f ca="1">RiskValStatic(198983.9275)+_xll.RiskMean(Model!U40,1)</f>
        <v>#NAME?</v>
      </c>
      <c r="ALM2">
        <f>Model!$V$43</f>
        <v>199292.42480000001</v>
      </c>
      <c r="ALN2" t="e">
        <f ca="1">RiskValStatic(199292.4248)+_xll.RiskMean(Model!V40,1)</f>
        <v>#NAME?</v>
      </c>
      <c r="ALO2">
        <f>Model!$W$43</f>
        <v>206105.71770000001</v>
      </c>
      <c r="ALP2" t="e">
        <f ca="1">RiskValStatic(206105.7177)+_xll.RiskMean(Model!W40,1)</f>
        <v>#NAME?</v>
      </c>
      <c r="ALQ2">
        <f>Model!$X$43</f>
        <v>202918.68969999999</v>
      </c>
      <c r="ALR2" t="e">
        <f ca="1">RiskValStatic(202918.6897)+_xll.RiskMean(Model!X40,1)</f>
        <v>#NAME?</v>
      </c>
      <c r="ALS2">
        <f>Model!$Y$43</f>
        <v>203099.552</v>
      </c>
      <c r="ALT2" t="e">
        <f ca="1">RiskValStatic(203099.552)+_xll.RiskMean(Model!Y40,1)</f>
        <v>#NAME?</v>
      </c>
      <c r="ALU2">
        <f>Model!$Z$43</f>
        <v>203494.46530000001</v>
      </c>
      <c r="ALV2" t="e">
        <f ca="1">RiskValStatic(203494.4653)+_xll.RiskMean(Model!Z40,1)</f>
        <v>#NAME?</v>
      </c>
      <c r="ALW2">
        <f>Model!$AA$43</f>
        <v>200884.52439999999</v>
      </c>
      <c r="ALX2" t="e">
        <f ca="1">RiskValStatic(200884.5244)+_xll.RiskMean(Model!AA40,1)</f>
        <v>#NAME?</v>
      </c>
      <c r="ALY2">
        <f>Model!$AB$43</f>
        <v>207127.90400000001</v>
      </c>
      <c r="ALZ2" t="e">
        <f ca="1">RiskValStatic(207127.904)+_xll.RiskMean(Model!AB40,1)</f>
        <v>#NAME?</v>
      </c>
      <c r="AMA2">
        <f>Model!$AC$43</f>
        <v>202346.3884</v>
      </c>
      <c r="AMB2" t="e">
        <f ca="1">RiskValStatic(202346.3884)+_xll.RiskMean(Model!AC40,1)</f>
        <v>#NAME?</v>
      </c>
      <c r="AMC2">
        <f>Model!$AD$43</f>
        <v>201852.20079999999</v>
      </c>
      <c r="AMD2" t="e">
        <f ca="1">RiskValStatic(201852.2008)+_xll.RiskMean(Model!AD40,1)</f>
        <v>#NAME?</v>
      </c>
      <c r="AME2">
        <f>Model!$AE$43</f>
        <v>232753.86960000001</v>
      </c>
      <c r="AMF2" t="e">
        <f ca="1">RiskValStatic(232753.8696)+_xll.RiskMean(Model!AE40,1)</f>
        <v>#NAME?</v>
      </c>
      <c r="AMG2">
        <f>Model!$B$44</f>
        <v>3998922.7919999999</v>
      </c>
      <c r="AMH2" t="e">
        <f ca="1">RiskValStatic(3998922.792)+_xll.RiskMean(Model!B$41,1)</f>
        <v>#NAME?</v>
      </c>
      <c r="AMI2">
        <f>Model!$C$44</f>
        <v>3914811.4989999998</v>
      </c>
      <c r="AMJ2" t="e">
        <f ca="1">RiskValStatic(3914811.499)+_xll.RiskMean(Model!C$41,1)</f>
        <v>#NAME?</v>
      </c>
      <c r="AMK2">
        <f>Model!$D$44</f>
        <v>3827727.8810000001</v>
      </c>
      <c r="AML2" t="e">
        <f ca="1">RiskValStatic(3827727.881)+_xll.RiskMean(Model!D$41,1)</f>
        <v>#NAME?</v>
      </c>
      <c r="AMM2">
        <f>Model!$E$44</f>
        <v>3740938.0550000002</v>
      </c>
      <c r="AMN2" t="e">
        <f ca="1">RiskValStatic(3740938.055)+_xll.RiskMean(Model!E$41,1)</f>
        <v>#NAME?</v>
      </c>
      <c r="AMO2">
        <f>Model!$F$44</f>
        <v>3649844.625</v>
      </c>
      <c r="AMP2" t="e">
        <f ca="1">RiskValStatic(3649844.625)+_xll.RiskMean(Model!F$41,1)</f>
        <v>#NAME?</v>
      </c>
      <c r="AMQ2">
        <f>Model!$G$44</f>
        <v>3551832.7749999999</v>
      </c>
      <c r="AMR2" t="e">
        <f ca="1">RiskValStatic(3551832.775)+_xll.RiskMean(Model!G$41,1)</f>
        <v>#NAME?</v>
      </c>
      <c r="AMS2">
        <f>Model!$H$44</f>
        <v>3455973.0060000001</v>
      </c>
      <c r="AMT2" t="e">
        <f ca="1">RiskValStatic(3455973.006)+_xll.RiskMean(Model!H$41,1)</f>
        <v>#NAME?</v>
      </c>
      <c r="AMU2">
        <f>Model!$I$44</f>
        <v>3354629.4219999998</v>
      </c>
      <c r="AMV2" t="e">
        <f ca="1">RiskValStatic(3354629.422)+_xll.RiskMean(Model!I$41,1)</f>
        <v>#NAME?</v>
      </c>
      <c r="AMW2">
        <f>Model!$J$44</f>
        <v>3253657.801</v>
      </c>
      <c r="AMX2" t="e">
        <f ca="1">RiskValStatic(3253657.801)+_xll.RiskMean(Model!J$41,1)</f>
        <v>#NAME?</v>
      </c>
      <c r="AMY2">
        <f>Model!$K$44</f>
        <v>3147904.0350000001</v>
      </c>
      <c r="AMZ2" t="e">
        <f ca="1">RiskValStatic(3147904.035)+_xll.RiskMean(Model!K$41,1)</f>
        <v>#NAME?</v>
      </c>
      <c r="ANA2">
        <f>Model!$L$44</f>
        <v>3036757.6529999999</v>
      </c>
      <c r="ANB2" t="e">
        <f ca="1">RiskValStatic(3036757.653)+_xll.RiskMean(Model!L$41,1)</f>
        <v>#NAME?</v>
      </c>
      <c r="ANC2">
        <f>Model!$M$44</f>
        <v>2925092.9309999999</v>
      </c>
      <c r="AND2" t="e">
        <f ca="1">RiskValStatic(2925092.931)+_xll.RiskMean(Model!M$41,1)</f>
        <v>#NAME?</v>
      </c>
      <c r="ANE2">
        <f>Model!$N$44</f>
        <v>2810231.2829999998</v>
      </c>
      <c r="ANF2" t="e">
        <f ca="1">RiskValStatic(2810231.283)+_xll.RiskMean(Model!N$41,1)</f>
        <v>#NAME?</v>
      </c>
      <c r="ANG2">
        <f>Model!$O$44</f>
        <v>2690469.9780000001</v>
      </c>
      <c r="ANH2" t="e">
        <f ca="1">RiskValStatic(2690469.978)+_xll.RiskMean(Model!O$41,1)</f>
        <v>#NAME?</v>
      </c>
      <c r="ANI2">
        <f>Model!$P$44</f>
        <v>2566464.602</v>
      </c>
      <c r="ANJ2" t="e">
        <f ca="1">RiskValStatic(2566464.602)+_xll.RiskMean(Model!P$41,1)</f>
        <v>#NAME?</v>
      </c>
      <c r="ANK2">
        <f>Model!$Q$44</f>
        <v>2439199.108</v>
      </c>
      <c r="ANL2" t="e">
        <f ca="1">RiskValStatic(2439199.108)+_xll.RiskMean(Model!Q$41,1)</f>
        <v>#NAME?</v>
      </c>
      <c r="ANM2">
        <f>Model!$R$44</f>
        <v>2307109.5269999998</v>
      </c>
      <c r="ANN2" t="e">
        <f ca="1">RiskValStatic(2307109.527)+_xll.RiskMean(Model!R$41,1)</f>
        <v>#NAME?</v>
      </c>
      <c r="ANO2">
        <f>Model!$S$44</f>
        <v>2173648.577</v>
      </c>
      <c r="ANP2" t="e">
        <f ca="1">RiskValStatic(2173648.577)+_xll.RiskMean(Model!S$41,1)</f>
        <v>#NAME?</v>
      </c>
      <c r="ANQ2">
        <f>Model!$T$44</f>
        <v>2037281.247</v>
      </c>
      <c r="ANR2" t="e">
        <f ca="1">RiskValStatic(2037281.247)+_xll.RiskMean(Model!T$41,1)</f>
        <v>#NAME?</v>
      </c>
      <c r="ANS2">
        <f>Model!$U$44</f>
        <v>1895837.11</v>
      </c>
      <c r="ANT2" t="e">
        <f ca="1">RiskValStatic(1895837.11)+_xll.RiskMean(Model!U$41,1)</f>
        <v>#NAME?</v>
      </c>
      <c r="ANU2">
        <f>Model!$V$44</f>
        <v>1753728.2949999999</v>
      </c>
      <c r="ANV2" t="e">
        <f ca="1">RiskValStatic(1753728.295)+_xll.RiskMean(Model!V$41,1)</f>
        <v>#NAME?</v>
      </c>
      <c r="ANW2">
        <f>Model!$W$44</f>
        <v>1607047.719</v>
      </c>
      <c r="ANX2" t="e">
        <f ca="1">RiskValStatic(1607047.719)+_xll.RiskMean(Model!W$41,1)</f>
        <v>#NAME?</v>
      </c>
      <c r="ANY2">
        <f>Model!$X$44</f>
        <v>1449153.433</v>
      </c>
      <c r="ANZ2" t="e">
        <f ca="1">RiskValStatic(1449153.433)+_xll.RiskMean(Model!X$41,1)</f>
        <v>#NAME?</v>
      </c>
      <c r="AOA2">
        <f>Model!$Y$44</f>
        <v>1289709.3470000001</v>
      </c>
      <c r="AOB2" t="e">
        <f ca="1">RiskValStatic(1289709.347)+_xll.RiskMean(Model!Y$41,1)</f>
        <v>#NAME?</v>
      </c>
      <c r="AOC2">
        <f>Model!$Z$44</f>
        <v>1125301.075</v>
      </c>
      <c r="AOD2" t="e">
        <f ca="1">RiskValStatic(1125301.075)+_xll.RiskMean(Model!Z$41,1)</f>
        <v>#NAME?</v>
      </c>
      <c r="AOE2">
        <f>Model!$AA$44</f>
        <v>955565.64199999999</v>
      </c>
      <c r="AOF2" t="e">
        <f ca="1">RiskValStatic(955565.642)+_xll.RiskMean(Model!AA$41,1)</f>
        <v>#NAME?</v>
      </c>
      <c r="AOG2">
        <f>Model!$AB$44</f>
        <v>783348.08689999999</v>
      </c>
      <c r="AOH2" t="e">
        <f ca="1">RiskValStatic(783348.0869)+_xll.RiskMean(Model!AB$41,1)</f>
        <v>#NAME?</v>
      </c>
      <c r="AOI2">
        <f>Model!$AC$44</f>
        <v>599720.62549999997</v>
      </c>
      <c r="AOJ2" t="e">
        <f ca="1">RiskValStatic(599720.6255)+_xll.RiskMean(Model!AC$41,1)</f>
        <v>#NAME?</v>
      </c>
      <c r="AOK2">
        <f>Model!$AD$44</f>
        <v>415365.85580000002</v>
      </c>
      <c r="AOL2" t="e">
        <f ca="1">RiskValStatic(415365.8558)+_xll.RiskMean(Model!AD$41,1)</f>
        <v>#NAME?</v>
      </c>
      <c r="AOM2">
        <f>Model!$AE$44</f>
        <v>225974.63070000001</v>
      </c>
      <c r="AON2" t="e">
        <f ca="1">RiskValStatic(225974.6307)+_xll.RiskMean(Model!AE$41,1)</f>
        <v>#NAME?</v>
      </c>
      <c r="AOO2">
        <f>Model!$B$46</f>
        <v>204078.9761</v>
      </c>
      <c r="AOP2" t="e">
        <f ca="1">RiskValStatic(204078.9761)+_xll.RiskMean(Model!B40,2)</f>
        <v>#NAME?</v>
      </c>
      <c r="AOQ2">
        <f>Model!$C$46</f>
        <v>205444.2052</v>
      </c>
      <c r="AOR2" t="e">
        <f ca="1">RiskValStatic(205444.2052)+_xll.RiskMean(Model!C40,2)</f>
        <v>#NAME?</v>
      </c>
      <c r="AOS2">
        <f>Model!$D$46</f>
        <v>206568.9154</v>
      </c>
      <c r="AOT2" t="e">
        <f ca="1">RiskValStatic(206568.9154)+_xll.RiskMean(Model!D40,2)</f>
        <v>#NAME?</v>
      </c>
      <c r="AOU2">
        <f>Model!$E$46</f>
        <v>209216.9901</v>
      </c>
      <c r="AOV2" t="e">
        <f ca="1">RiskValStatic(209216.9901)+_xll.RiskMean(Model!E40,2)</f>
        <v>#NAME?</v>
      </c>
      <c r="AOW2">
        <f>Model!$F$46</f>
        <v>213845.6581</v>
      </c>
      <c r="AOX2" t="e">
        <f ca="1">RiskValStatic(213845.6581)+_xll.RiskMean(Model!F40,2)</f>
        <v>#NAME?</v>
      </c>
      <c r="AOY2">
        <f>Model!$G$46</f>
        <v>211061.10430000001</v>
      </c>
      <c r="AOZ2" t="e">
        <f ca="1">RiskValStatic(211061.1043)+_xll.RiskMean(Model!G40,2)</f>
        <v>#NAME?</v>
      </c>
      <c r="APA2">
        <f>Model!$H$46</f>
        <v>213671.70370000001</v>
      </c>
      <c r="APB2" t="e">
        <f ca="1">RiskValStatic(213671.7037)+_xll.RiskMean(Model!H40,2)</f>
        <v>#NAME?</v>
      </c>
      <c r="APC2">
        <f>Model!$I$46</f>
        <v>212302.03159999999</v>
      </c>
      <c r="APD2" t="e">
        <f ca="1">RiskValStatic(212302.0316)+_xll.RiskMean(Model!I40,2)</f>
        <v>#NAME?</v>
      </c>
      <c r="APE2">
        <f>Model!$J$46</f>
        <v>216113.91209999999</v>
      </c>
      <c r="APF2" t="e">
        <f ca="1">RiskValStatic(216113.9121)+_xll.RiskMean(Model!J40,2)</f>
        <v>#NAME?</v>
      </c>
      <c r="APG2">
        <f>Model!$K$46</f>
        <v>219664.46189999999</v>
      </c>
      <c r="APH2" t="e">
        <f ca="1">RiskValStatic(219664.4619)+_xll.RiskMean(Model!K40,2)</f>
        <v>#NAME?</v>
      </c>
      <c r="API2">
        <f>Model!$L$46</f>
        <v>219339.56340000001</v>
      </c>
      <c r="APJ2" t="e">
        <f ca="1">RiskValStatic(219339.5634)+_xll.RiskMean(Model!L40,2)</f>
        <v>#NAME?</v>
      </c>
      <c r="APK2">
        <f>Model!$M$46</f>
        <v>221313.3714</v>
      </c>
      <c r="APL2" t="e">
        <f ca="1">RiskValStatic(221313.3714)+_xll.RiskMean(Model!M40,2)</f>
        <v>#NAME?</v>
      </c>
      <c r="APM2">
        <f>Model!$N$46</f>
        <v>223137.98869999999</v>
      </c>
      <c r="APN2" t="e">
        <f ca="1">RiskValStatic(223137.9887)+_xll.RiskMean(Model!N40,2)</f>
        <v>#NAME?</v>
      </c>
      <c r="APO2">
        <f>Model!$O$46</f>
        <v>224779.02960000001</v>
      </c>
      <c r="APP2" t="e">
        <f ca="1">RiskValStatic(224779.0296)+_xll.RiskMean(Model!O40,2)</f>
        <v>#NAME?</v>
      </c>
      <c r="APQ2">
        <f>Model!$P$46</f>
        <v>224016.91190000001</v>
      </c>
      <c r="APR2" t="e">
        <f ca="1">RiskValStatic(224016.9119)+_xll.RiskMean(Model!P40,2)</f>
        <v>#NAME?</v>
      </c>
      <c r="APS2">
        <f>Model!$Q$46</f>
        <v>229305.31899999999</v>
      </c>
      <c r="APT2" t="e">
        <f ca="1">RiskValStatic(229305.319)+_xll.RiskMean(Model!Q40,2)</f>
        <v>#NAME?</v>
      </c>
      <c r="APU2">
        <f>Model!$R$46</f>
        <v>230168.38819999999</v>
      </c>
      <c r="APV2" t="e">
        <f ca="1">RiskValStatic(230168.3882)+_xll.RiskMean(Model!R40,2)</f>
        <v>#NAME?</v>
      </c>
      <c r="APW2">
        <f>Model!$S$46</f>
        <v>229025.40700000001</v>
      </c>
      <c r="APX2" t="e">
        <f ca="1">RiskValStatic(229025.407)+_xll.RiskMean(Model!S40,2)</f>
        <v>#NAME?</v>
      </c>
      <c r="APY2">
        <f>Model!$T$46</f>
        <v>231871.1851</v>
      </c>
      <c r="APZ2" t="e">
        <f ca="1">RiskValStatic(231871.1851)+_xll.RiskMean(Model!T40,2)</f>
        <v>#NAME?</v>
      </c>
      <c r="AQA2">
        <f>Model!$U$46</f>
        <v>232894.8161</v>
      </c>
      <c r="AQB2" t="e">
        <f ca="1">RiskValStatic(232894.8161)+_xll.RiskMean(Model!U40,2)</f>
        <v>#NAME?</v>
      </c>
      <c r="AQC2">
        <f>Model!$V$46</f>
        <v>232026.62669999999</v>
      </c>
      <c r="AQD2" t="e">
        <f ca="1">RiskValStatic(232026.6267)+_xll.RiskMean(Model!V40,2)</f>
        <v>#NAME?</v>
      </c>
      <c r="AQE2">
        <f>Model!$W$46</f>
        <v>233389.6611</v>
      </c>
      <c r="AQF2" t="e">
        <f ca="1">RiskValStatic(233389.6611)+_xll.RiskMean(Model!W40,2)</f>
        <v>#NAME?</v>
      </c>
      <c r="AQG2">
        <f>Model!$X$46</f>
        <v>232477.55600000001</v>
      </c>
      <c r="AQH2" t="e">
        <f ca="1">RiskValStatic(232477.556)+_xll.RiskMean(Model!X40,2)</f>
        <v>#NAME?</v>
      </c>
      <c r="AQI2">
        <f>Model!$Y$46</f>
        <v>234269.04509999999</v>
      </c>
      <c r="AQJ2" t="e">
        <f ca="1">RiskValStatic(234269.0451)+_xll.RiskMean(Model!Y40,2)</f>
        <v>#NAME?</v>
      </c>
      <c r="AQK2">
        <f>Model!$Z$46</f>
        <v>231498.155</v>
      </c>
      <c r="AQL2" t="e">
        <f ca="1">RiskValStatic(231498.155)+_xll.RiskMean(Model!Z40,2)</f>
        <v>#NAME?</v>
      </c>
      <c r="AQM2">
        <f>Model!$AA$46</f>
        <v>231906.93520000001</v>
      </c>
      <c r="AQN2" t="e">
        <f ca="1">RiskValStatic(231906.9352)+_xll.RiskMean(Model!AA40,2)</f>
        <v>#NAME?</v>
      </c>
      <c r="AQO2">
        <f>Model!$AB$46</f>
        <v>232260.9589</v>
      </c>
      <c r="AQP2" t="e">
        <f ca="1">RiskValStatic(232260.9589)+_xll.RiskMean(Model!AB40,2)</f>
        <v>#NAME?</v>
      </c>
      <c r="AQQ2">
        <f>Model!$AC$46</f>
        <v>232913.79519999999</v>
      </c>
      <c r="AQR2" t="e">
        <f ca="1">RiskValStatic(232913.7952)+_xll.RiskMean(Model!AC40,2)</f>
        <v>#NAME?</v>
      </c>
      <c r="AQS2">
        <f>Model!$AD$46</f>
        <v>232735.85130000001</v>
      </c>
      <c r="AQT2" t="e">
        <f ca="1">RiskValStatic(232735.8513)+_xll.RiskMean(Model!AD40,2)</f>
        <v>#NAME?</v>
      </c>
      <c r="AQU2">
        <f>Model!$AE$46</f>
        <v>232753.86960000001</v>
      </c>
      <c r="AQV2" t="e">
        <f ca="1">RiskValStatic(232753.8696)+_xll.RiskMean(Model!AE40,2)</f>
        <v>#NAME?</v>
      </c>
      <c r="AQW2">
        <f>Model!$B$47</f>
        <v>4332913.034</v>
      </c>
      <c r="AQX2" t="e">
        <f ca="1">RiskValStatic(4332913.034)+_xll.RiskMean(Model!B$41,2)</f>
        <v>#NAME?</v>
      </c>
      <c r="AQY2">
        <f>Model!$C$47</f>
        <v>4258821.4479999999</v>
      </c>
      <c r="AQZ2" t="e">
        <f ca="1">RiskValStatic(4258821.448)+_xll.RiskMean(Model!C$41,2)</f>
        <v>#NAME?</v>
      </c>
      <c r="ARA2">
        <f>Model!$D$47</f>
        <v>4181141.8870000001</v>
      </c>
      <c r="ARB2" t="e">
        <f ca="1">RiskValStatic(4181141.887)+_xll.RiskMean(Model!D$41,2)</f>
        <v>#NAME?</v>
      </c>
      <c r="ARC2">
        <f>Model!$E$47</f>
        <v>4100007.2280000001</v>
      </c>
      <c r="ARD2" t="e">
        <f ca="1">RiskValStatic(4100007.228)+_xll.RiskMean(Model!E$41,2)</f>
        <v>#NAME?</v>
      </c>
      <c r="ARE2">
        <f>Model!$F$47</f>
        <v>4013790.4550000001</v>
      </c>
      <c r="ARF2" t="e">
        <f ca="1">RiskValStatic(4013790.455)+_xll.RiskMean(Model!F$41,2)</f>
        <v>#NAME?</v>
      </c>
      <c r="ARG2">
        <f>Model!$G$47</f>
        <v>3920358.51</v>
      </c>
      <c r="ARH2" t="e">
        <f ca="1">RiskValStatic(3920358.51)+_xll.RiskMean(Model!G$41,2)</f>
        <v>#NAME?</v>
      </c>
      <c r="ARI2">
        <f>Model!$H$47</f>
        <v>3826908.1609999998</v>
      </c>
      <c r="ARJ2" t="e">
        <f ca="1">RiskValStatic(3826908.161)+_xll.RiskMean(Model!H$41,2)</f>
        <v>#NAME?</v>
      </c>
      <c r="ARK2">
        <f>Model!$I$47</f>
        <v>3728043.702</v>
      </c>
      <c r="ARL2" t="e">
        <f ca="1">RiskValStatic(3728043.702)+_xll.RiskMean(Model!I$41,2)</f>
        <v>#NAME?</v>
      </c>
      <c r="ARM2">
        <f>Model!$J$47</f>
        <v>3627582.9819999998</v>
      </c>
      <c r="ARN2" t="e">
        <f ca="1">RiskValStatic(3627582.982)+_xll.RiskMean(Model!J$41,2)</f>
        <v>#NAME?</v>
      </c>
      <c r="ARO2">
        <f>Model!$K$47</f>
        <v>3520296.5589999999</v>
      </c>
      <c r="ARP2" t="e">
        <f ca="1">RiskValStatic(3520296.559)+_xll.RiskMean(Model!K$41,2)</f>
        <v>#NAME?</v>
      </c>
      <c r="ARQ2">
        <f>Model!$L$47</f>
        <v>3406240.9939999999</v>
      </c>
      <c r="ARR2" t="e">
        <f ca="1">RiskValStatic(3406240.994)+_xll.RiskMean(Model!L$41,2)</f>
        <v>#NAME?</v>
      </c>
      <c r="ARS2">
        <f>Model!$M$47</f>
        <v>3289088.6609999998</v>
      </c>
      <c r="ART2" t="e">
        <f ca="1">RiskValStatic(3289088.661)+_xll.RiskMean(Model!M$41,2)</f>
        <v>#NAME?</v>
      </c>
      <c r="ARU2">
        <f>Model!$N$47</f>
        <v>3166447.949</v>
      </c>
      <c r="ARV2" t="e">
        <f ca="1">RiskValStatic(3166447.949)+_xll.RiskMean(Model!N$41,2)</f>
        <v>#NAME?</v>
      </c>
      <c r="ARW2">
        <f>Model!$O$47</f>
        <v>3038303.3990000002</v>
      </c>
      <c r="ARX2" t="e">
        <f ca="1">RiskValStatic(3038303.399)+_xll.RiskMean(Model!O$41,2)</f>
        <v>#NAME?</v>
      </c>
      <c r="ARY2">
        <f>Model!$P$47</f>
        <v>2904673.4709999999</v>
      </c>
      <c r="ARZ2" t="e">
        <f ca="1">RiskValStatic(2904673.471)+_xll.RiskMean(Model!P$41,2)</f>
        <v>#NAME?</v>
      </c>
      <c r="ASA2">
        <f>Model!$Q$47</f>
        <v>2767796.7629999998</v>
      </c>
      <c r="ASB2" t="e">
        <f ca="1">RiskValStatic(2767796.763)+_xll.RiskMean(Model!Q$41,2)</f>
        <v>#NAME?</v>
      </c>
      <c r="ASC2">
        <f>Model!$R$47</f>
        <v>2621525.3470000001</v>
      </c>
      <c r="ASD2" t="e">
        <f ca="1">RiskValStatic(2621525.347)+_xll.RiskMean(Model!R$41,2)</f>
        <v>#NAME?</v>
      </c>
      <c r="ASE2">
        <f>Model!$S$47</f>
        <v>2470002.7200000002</v>
      </c>
      <c r="ASF2" t="e">
        <f ca="1">RiskValStatic(2470002.72)+_xll.RiskMean(Model!S$41,2)</f>
        <v>#NAME?</v>
      </c>
      <c r="ASG2">
        <f>Model!$T$47</f>
        <v>2315077.3939999999</v>
      </c>
      <c r="ASH2" t="e">
        <f ca="1">RiskValStatic(2315077.394)+_xll.RiskMean(Model!T$41,2)</f>
        <v>#NAME?</v>
      </c>
      <c r="ASI2">
        <f>Model!$U$47</f>
        <v>2152658.531</v>
      </c>
      <c r="ASJ2" t="e">
        <f ca="1">RiskValStatic(2152658.531)+_xll.RiskMean(Model!U$41,2)</f>
        <v>#NAME?</v>
      </c>
      <c r="ASK2">
        <f>Model!$V$47</f>
        <v>1984343.4709999999</v>
      </c>
      <c r="ASL2" t="e">
        <f ca="1">RiskValStatic(1984343.471)+_xll.RiskMean(Model!V$41,2)</f>
        <v>#NAME?</v>
      </c>
      <c r="ASM2">
        <f>Model!$W$47</f>
        <v>1811847.148</v>
      </c>
      <c r="ASN2" t="e">
        <f ca="1">RiskValStatic(1811847.148)+_xll.RiskMean(Model!W$41,2)</f>
        <v>#NAME?</v>
      </c>
      <c r="ASO2">
        <f>Model!$X$47</f>
        <v>1632812.902</v>
      </c>
      <c r="ASP2" t="e">
        <f ca="1">RiskValStatic(1632812.902)+_xll.RiskMean(Model!X$41,2)</f>
        <v>#NAME?</v>
      </c>
      <c r="ASQ2">
        <f>Model!$Y$47</f>
        <v>1449319.733</v>
      </c>
      <c r="ASR2" t="e">
        <f ca="1">RiskValStatic(1449319.733)+_xll.RiskMean(Model!Y$41,2)</f>
        <v>#NAME?</v>
      </c>
      <c r="ASS2">
        <f>Model!$Z$47</f>
        <v>1258530.28</v>
      </c>
      <c r="AST2" t="e">
        <f ca="1">RiskValStatic(1258530.28)+_xll.RiskMean(Model!Z$41,2)</f>
        <v>#NAME?</v>
      </c>
      <c r="ASU2">
        <f>Model!$AA$47</f>
        <v>1064788.0330000001</v>
      </c>
      <c r="ASV2" t="e">
        <f ca="1">RiskValStatic(1064788.033)+_xll.RiskMean(Model!AA$41,2)</f>
        <v>#NAME?</v>
      </c>
      <c r="ASW2">
        <f>Model!$AB$47</f>
        <v>864824.73880000005</v>
      </c>
      <c r="ASX2" t="e">
        <f ca="1">RiskValStatic(864824.7388)+_xll.RiskMean(Model!AB$41,2)</f>
        <v>#NAME?</v>
      </c>
      <c r="ASY2">
        <f>Model!$AC$47</f>
        <v>658508.522</v>
      </c>
      <c r="ASZ2" t="e">
        <f ca="1">RiskValStatic(658508.522)+_xll.RiskMean(Model!AC$41,2)</f>
        <v>#NAME?</v>
      </c>
      <c r="ATA2">
        <f>Model!$AD$47</f>
        <v>445349.98249999998</v>
      </c>
      <c r="ATB2" t="e">
        <f ca="1">RiskValStatic(445349.9825)+_xll.RiskMean(Model!AD$41,2)</f>
        <v>#NAME?</v>
      </c>
      <c r="ATC2">
        <f>Model!$AE$47</f>
        <v>225974.63070000001</v>
      </c>
      <c r="ATD2" t="e">
        <f ca="1">RiskValStatic(225974.6307)+_xll.RiskMean(Model!AE$41,2)</f>
        <v>#NAME?</v>
      </c>
      <c r="ATE2">
        <f>Model!$B$49</f>
        <v>204078.9761</v>
      </c>
      <c r="ATF2" t="e">
        <f ca="1">RiskValStatic(204078.9761)+_xll.RiskMean(Model!B40,3)</f>
        <v>#NAME?</v>
      </c>
      <c r="ATG2">
        <f>Model!$C$49</f>
        <v>205292.85010000001</v>
      </c>
      <c r="ATH2" t="e">
        <f ca="1">RiskValStatic(205292.8501)+_xll.RiskMean(Model!C40,3)</f>
        <v>#NAME?</v>
      </c>
      <c r="ATI2">
        <f>Model!$D$49</f>
        <v>205719.03049999999</v>
      </c>
      <c r="ATJ2" t="e">
        <f ca="1">RiskValStatic(205719.0305)+_xll.RiskMean(Model!D40,3)</f>
        <v>#NAME?</v>
      </c>
      <c r="ATK2">
        <f>Model!$E$49</f>
        <v>207746.04860000001</v>
      </c>
      <c r="ATL2" t="e">
        <f ca="1">RiskValStatic(207746.0486)+_xll.RiskMean(Model!E40,3)</f>
        <v>#NAME?</v>
      </c>
      <c r="ATM2">
        <f>Model!$F$49</f>
        <v>212067.29639999999</v>
      </c>
      <c r="ATN2" t="e">
        <f ca="1">RiskValStatic(212067.2964)+_xll.RiskMean(Model!F40,3)</f>
        <v>#NAME?</v>
      </c>
      <c r="ATO2">
        <f>Model!$G$49</f>
        <v>208578.26569999999</v>
      </c>
      <c r="ATP2" t="e">
        <f ca="1">RiskValStatic(208578.2657)+_xll.RiskMean(Model!G40,3)</f>
        <v>#NAME?</v>
      </c>
      <c r="ATQ2">
        <f>Model!$H$49</f>
        <v>211612.07939999999</v>
      </c>
      <c r="ATR2" t="e">
        <f ca="1">RiskValStatic(211612.0794)+_xll.RiskMean(Model!H40,3)</f>
        <v>#NAME?</v>
      </c>
      <c r="ATS2">
        <f>Model!$I$49</f>
        <v>210166.1667</v>
      </c>
      <c r="ATT2" t="e">
        <f ca="1">RiskValStatic(210166.1667)+_xll.RiskMean(Model!I40,3)</f>
        <v>#NAME?</v>
      </c>
      <c r="ATU2">
        <f>Model!$J$49</f>
        <v>213796.4039</v>
      </c>
      <c r="ATV2" t="e">
        <f ca="1">RiskValStatic(213796.4039)+_xll.RiskMean(Model!J40,3)</f>
        <v>#NAME?</v>
      </c>
      <c r="ATW2">
        <f>Model!$K$49</f>
        <v>214936.51689999999</v>
      </c>
      <c r="ATX2" t="e">
        <f ca="1">RiskValStatic(214936.5169)+_xll.RiskMean(Model!K40,3)</f>
        <v>#NAME?</v>
      </c>
      <c r="ATY2">
        <f>Model!$L$49</f>
        <v>214300.92800000001</v>
      </c>
      <c r="ATZ2" t="e">
        <f ca="1">RiskValStatic(214300.928)+_xll.RiskMean(Model!L40,3)</f>
        <v>#NAME?</v>
      </c>
      <c r="AUA2">
        <f>Model!$M$49</f>
        <v>214832.5398</v>
      </c>
      <c r="AUB2" t="e">
        <f ca="1">RiskValStatic(214832.5398)+_xll.RiskMean(Model!M40,3)</f>
        <v>#NAME?</v>
      </c>
      <c r="AUC2">
        <f>Model!$N$49</f>
        <v>217712.43049999999</v>
      </c>
      <c r="AUD2" t="e">
        <f ca="1">RiskValStatic(217712.4305)+_xll.RiskMean(Model!N40,3)</f>
        <v>#NAME?</v>
      </c>
      <c r="AUE2">
        <f>Model!$O$49</f>
        <v>220271.90640000001</v>
      </c>
      <c r="AUF2" t="e">
        <f ca="1">RiskValStatic(220271.9064)+_xll.RiskMean(Model!O40,3)</f>
        <v>#NAME?</v>
      </c>
      <c r="AUG2">
        <f>Model!$P$49</f>
        <v>219800.1152</v>
      </c>
      <c r="AUH2" t="e">
        <f ca="1">RiskValStatic(219800.1152)+_xll.RiskMean(Model!P40,3)</f>
        <v>#NAME?</v>
      </c>
      <c r="AUI2">
        <f>Model!$Q$49</f>
        <v>222249.40890000001</v>
      </c>
      <c r="AUJ2" t="e">
        <f ca="1">RiskValStatic(222249.4089)+_xll.RiskMean(Model!Q40,3)</f>
        <v>#NAME?</v>
      </c>
      <c r="AUK2">
        <f>Model!$R$49</f>
        <v>222177.99650000001</v>
      </c>
      <c r="AUL2" t="e">
        <f ca="1">RiskValStatic(222177.9965)+_xll.RiskMean(Model!R40,3)</f>
        <v>#NAME?</v>
      </c>
      <c r="AUM2">
        <f>Model!$S$49</f>
        <v>220242.098</v>
      </c>
      <c r="AUN2" t="e">
        <f ca="1">RiskValStatic(220242.098)+_xll.RiskMean(Model!S40,3)</f>
        <v>#NAME?</v>
      </c>
      <c r="AUO2">
        <f>Model!$T$49</f>
        <v>224800.97500000001</v>
      </c>
      <c r="AUP2" t="e">
        <f ca="1">RiskValStatic(224800.975)+_xll.RiskMean(Model!T40,3)</f>
        <v>#NAME?</v>
      </c>
      <c r="AUQ2">
        <f>Model!$U$49</f>
        <v>225499.98989999999</v>
      </c>
      <c r="AUR2" t="e">
        <f ca="1">RiskValStatic(225499.9899)+_xll.RiskMean(Model!U40,3)</f>
        <v>#NAME?</v>
      </c>
      <c r="AUS2">
        <f>Model!$V$49</f>
        <v>226230.272</v>
      </c>
      <c r="AUT2" t="e">
        <f ca="1">RiskValStatic(226230.272)+_xll.RiskMean(Model!V40,3)</f>
        <v>#NAME?</v>
      </c>
      <c r="AUU2">
        <f>Model!$W$49</f>
        <v>229281.42559999999</v>
      </c>
      <c r="AUV2" t="e">
        <f ca="1">RiskValStatic(229281.4256)+_xll.RiskMean(Model!W40,3)</f>
        <v>#NAME?</v>
      </c>
      <c r="AUW2">
        <f>Model!$X$49</f>
        <v>229563.58379999999</v>
      </c>
      <c r="AUX2" t="e">
        <f ca="1">RiskValStatic(229563.5838)+_xll.RiskMean(Model!X40,3)</f>
        <v>#NAME?</v>
      </c>
      <c r="AUY2">
        <f>Model!$Y$49</f>
        <v>231378.5091</v>
      </c>
      <c r="AUZ2" t="e">
        <f ca="1">RiskValStatic(231378.5091)+_xll.RiskMean(Model!Y40,3)</f>
        <v>#NAME?</v>
      </c>
      <c r="AVA2">
        <f>Model!$Z$49</f>
        <v>230770.3573</v>
      </c>
      <c r="AVB2" t="e">
        <f ca="1">RiskValStatic(230770.3573)+_xll.RiskMean(Model!Z40,3)</f>
        <v>#NAME?</v>
      </c>
      <c r="AVC2">
        <f>Model!$AA$49</f>
        <v>231906.93520000001</v>
      </c>
      <c r="AVD2" t="e">
        <f ca="1">RiskValStatic(231906.9352)+_xll.RiskMean(Model!AA40,3)</f>
        <v>#NAME?</v>
      </c>
      <c r="AVE2">
        <f>Model!$AB$49</f>
        <v>232260.9589</v>
      </c>
      <c r="AVF2" t="e">
        <f ca="1">RiskValStatic(232260.9589)+_xll.RiskMean(Model!AB40,3)</f>
        <v>#NAME?</v>
      </c>
      <c r="AVG2">
        <f>Model!$AC$49</f>
        <v>232913.79519999999</v>
      </c>
      <c r="AVH2" t="e">
        <f ca="1">RiskValStatic(232913.7952)+_xll.RiskMean(Model!AC40,3)</f>
        <v>#NAME?</v>
      </c>
      <c r="AVI2">
        <f>Model!$AD$49</f>
        <v>232735.85130000001</v>
      </c>
      <c r="AVJ2" t="e">
        <f ca="1">RiskValStatic(232735.8513)+_xll.RiskMean(Model!AD40,3)</f>
        <v>#NAME?</v>
      </c>
      <c r="AVK2">
        <f>Model!$AE$49</f>
        <v>232753.86960000001</v>
      </c>
      <c r="AVL2" t="e">
        <f ca="1">RiskValStatic(232753.8696)+_xll.RiskMean(Model!AE40,3)</f>
        <v>#NAME?</v>
      </c>
      <c r="AVM2">
        <f>Model!$B$50</f>
        <v>4269828.0539999995</v>
      </c>
      <c r="AVN2" t="e">
        <f ca="1">RiskValStatic(4269828.054)+_xll.RiskMean(Model!B$41,3)</f>
        <v>#NAME?</v>
      </c>
      <c r="AVO2">
        <f>Model!$C$50</f>
        <v>4193843.9190000002</v>
      </c>
      <c r="AVP2" t="e">
        <f ca="1">RiskValStatic(4193843.919)+_xll.RiskMean(Model!C$41,3)</f>
        <v>#NAME?</v>
      </c>
      <c r="AVQ2">
        <f>Model!$D$50</f>
        <v>4114366.3870000001</v>
      </c>
      <c r="AVR2" t="e">
        <f ca="1">RiskValStatic(4114366.387)+_xll.RiskMean(Model!D$41,3)</f>
        <v>#NAME?</v>
      </c>
      <c r="AVS2">
        <f>Model!$E$50</f>
        <v>4032078.3480000002</v>
      </c>
      <c r="AVT2" t="e">
        <f ca="1">RiskValStatic(4032078.348)+_xll.RiskMean(Model!E$41,3)</f>
        <v>#NAME?</v>
      </c>
      <c r="AVU2">
        <f>Model!$F$50</f>
        <v>3945294.65</v>
      </c>
      <c r="AVV2" t="e">
        <f ca="1">RiskValStatic(3945294.65)+_xll.RiskMean(Model!F$41,3)</f>
        <v>#NAME?</v>
      </c>
      <c r="AVW2">
        <f>Model!$G$50</f>
        <v>3851586.193</v>
      </c>
      <c r="AVX2" t="e">
        <f ca="1">RiskValStatic(3851586.193)+_xll.RiskMean(Model!G$41,3)</f>
        <v>#NAME?</v>
      </c>
      <c r="AVY2">
        <f>Model!$H$50</f>
        <v>3758555.5129999998</v>
      </c>
      <c r="AVZ2" t="e">
        <f ca="1">RiskValStatic(3758555.513)+_xll.RiskMean(Model!H$41,3)</f>
        <v>#NAME?</v>
      </c>
      <c r="AWA2">
        <f>Model!$I$50</f>
        <v>3659700.0989999999</v>
      </c>
      <c r="AWB2" t="e">
        <f ca="1">RiskValStatic(3659700.099)+_xll.RiskMean(Model!I$41,3)</f>
        <v>#NAME?</v>
      </c>
      <c r="AWC2">
        <f>Model!$J$50</f>
        <v>3559324.9350000001</v>
      </c>
      <c r="AWD2" t="e">
        <f ca="1">RiskValStatic(3559324.935)+_xll.RiskMean(Model!J$41,3)</f>
        <v>#NAME?</v>
      </c>
      <c r="AWE2">
        <f>Model!$K$50</f>
        <v>3452308.2790000001</v>
      </c>
      <c r="AWF2" t="e">
        <f ca="1">RiskValStatic(3452308.279)+_xll.RiskMean(Model!K$41,3)</f>
        <v>#NAME?</v>
      </c>
      <c r="AWG2">
        <f>Model!$L$50</f>
        <v>3340941.0109999999</v>
      </c>
      <c r="AWH2" t="e">
        <f ca="1">RiskValStatic(3340941.011)+_xll.RiskMean(Model!L$41,3)</f>
        <v>#NAME?</v>
      </c>
      <c r="AWI2">
        <f>Model!$M$50</f>
        <v>3226868.3130000001</v>
      </c>
      <c r="AWJ2" t="e">
        <f ca="1">RiskValStatic(3226868.313)+_xll.RiskMean(Model!M$41,3)</f>
        <v>#NAME?</v>
      </c>
      <c r="AWK2">
        <f>Model!$N$50</f>
        <v>3108841.8229999999</v>
      </c>
      <c r="AWL2" t="e">
        <f ca="1">RiskValStatic(3108841.823)+_xll.RiskMean(Model!N$41,3)</f>
        <v>#NAME?</v>
      </c>
      <c r="AWM2">
        <f>Model!$O$50</f>
        <v>2984394.6469999999</v>
      </c>
      <c r="AWN2" t="e">
        <f ca="1">RiskValStatic(2984394.647)+_xll.RiskMean(Model!O$41,3)</f>
        <v>#NAME?</v>
      </c>
      <c r="AWO2">
        <f>Model!$P$50</f>
        <v>2853654.58</v>
      </c>
      <c r="AWP2" t="e">
        <f ca="1">RiskValStatic(2853654.58)+_xll.RiskMean(Model!P$41,3)</f>
        <v>#NAME?</v>
      </c>
      <c r="AWQ2">
        <f>Model!$Q$50</f>
        <v>2719464.102</v>
      </c>
      <c r="AWR2" t="e">
        <f ca="1">RiskValStatic(2719464.102)+_xll.RiskMean(Model!Q$41,3)</f>
        <v>#NAME?</v>
      </c>
      <c r="AWS2">
        <f>Model!$R$50</f>
        <v>2578798.6159999999</v>
      </c>
      <c r="AWT2" t="e">
        <f ca="1">RiskValStatic(2578798.616)+_xll.RiskMean(Model!R$41,3)</f>
        <v>#NAME?</v>
      </c>
      <c r="AWU2">
        <f>Model!$S$50</f>
        <v>2433984.5780000002</v>
      </c>
      <c r="AWV2" t="e">
        <f ca="1">RiskValStatic(2433984.578)+_xll.RiskMean(Model!S$41,3)</f>
        <v>#NAME?</v>
      </c>
      <c r="AWW2">
        <f>Model!$T$50</f>
        <v>2286762.017</v>
      </c>
      <c r="AWX2" t="e">
        <f ca="1">RiskValStatic(2286762.017)+_xll.RiskMean(Model!T$41,3)</f>
        <v>#NAME?</v>
      </c>
      <c r="AWY2">
        <f>Model!$U$50</f>
        <v>2130563.9029999999</v>
      </c>
      <c r="AWZ2" t="e">
        <f ca="1">RiskValStatic(2130563.903)+_xll.RiskMean(Model!U$41,3)</f>
        <v>#NAME?</v>
      </c>
      <c r="AXA2">
        <f>Model!$V$50</f>
        <v>1968980.83</v>
      </c>
      <c r="AXB2" t="e">
        <f ca="1">RiskValStatic(1968980.83)+_xll.RiskMean(Model!V$41,3)</f>
        <v>#NAME?</v>
      </c>
      <c r="AXC2">
        <f>Model!$W$50</f>
        <v>1801819.983</v>
      </c>
      <c r="AXD2" t="e">
        <f ca="1">RiskValStatic(1801819.983)+_xll.RiskMean(Model!W$41,3)</f>
        <v>#NAME?</v>
      </c>
      <c r="AXE2">
        <f>Model!$X$50</f>
        <v>1626593.1569999999</v>
      </c>
      <c r="AXF2" t="e">
        <f ca="1">RiskValStatic(1626593.157)+_xll.RiskMean(Model!X$41,3)</f>
        <v>#NAME?</v>
      </c>
      <c r="AXG2">
        <f>Model!$Y$50</f>
        <v>1445827.368</v>
      </c>
      <c r="AXH2" t="e">
        <f ca="1">RiskValStatic(1445827.368)+_xll.RiskMean(Model!Y$41,3)</f>
        <v>#NAME?</v>
      </c>
      <c r="AXI2">
        <f>Model!$Z$50</f>
        <v>1257823.68</v>
      </c>
      <c r="AXJ2" t="e">
        <f ca="1">RiskValStatic(1257823.68)+_xll.RiskMean(Model!Z$41,3)</f>
        <v>#NAME?</v>
      </c>
      <c r="AXK2">
        <f>Model!$AA$50</f>
        <v>1064788.0330000001</v>
      </c>
      <c r="AXL2" t="e">
        <f ca="1">RiskValStatic(1064788.033)+_xll.RiskMean(Model!AA$41,3)</f>
        <v>#NAME?</v>
      </c>
      <c r="AXM2">
        <f>Model!$AB$50</f>
        <v>864824.73880000005</v>
      </c>
      <c r="AXN2" t="e">
        <f ca="1">RiskValStatic(864824.7388)+_xll.RiskMean(Model!AB$41,3)</f>
        <v>#NAME?</v>
      </c>
      <c r="AXO2">
        <f>Model!$AC$50</f>
        <v>658508.522</v>
      </c>
      <c r="AXP2" t="e">
        <f ca="1">RiskValStatic(658508.522)+_xll.RiskMean(Model!AC$41,3)</f>
        <v>#NAME?</v>
      </c>
      <c r="AXQ2">
        <f>Model!$AD$50</f>
        <v>445349.98249999998</v>
      </c>
      <c r="AXR2" t="e">
        <f ca="1">RiskValStatic(445349.9825)+_xll.RiskMean(Model!AD$41,3)</f>
        <v>#NAME?</v>
      </c>
      <c r="AXS2">
        <f>Model!$AE$50</f>
        <v>225974.63070000001</v>
      </c>
      <c r="AXT2" t="e">
        <f ca="1">RiskValStatic(225974.6307)+_xll.RiskMean(Model!AE$41,3)</f>
        <v>#NAME?</v>
      </c>
      <c r="AXU2" s="79">
        <f>Model!$B$54</f>
        <v>0</v>
      </c>
      <c r="AXV2" t="e">
        <f ca="1">IF(RiskValStatic(0.3)+_xll.RiskSimtable(RiskSimTable_Inputs!B3:B5)&lt;=Model!$F$99,Model!B39,0)</f>
        <v>#NAME?</v>
      </c>
      <c r="AXW2" s="79">
        <f>Model!$C$54</f>
        <v>0</v>
      </c>
      <c r="AXX2" t="e">
        <f ca="1">IF(RiskValStatic(0.3)+_xll.RiskSimtable(RiskSimTable_Inputs!C3:C5)&lt;=Model!$F$99,Model!C39,0)</f>
        <v>#NAME?</v>
      </c>
      <c r="AXY2" s="79">
        <f>Model!$D$54</f>
        <v>0</v>
      </c>
      <c r="AXZ2" t="e">
        <f ca="1">IF(RiskValStatic(0.3)+_xll.RiskSimtable(RiskSimTable_Inputs!D3:D5)&lt;=Model!$F$99,Model!D39,0)</f>
        <v>#NAME?</v>
      </c>
      <c r="AYA2" s="79">
        <f>Model!$E$54</f>
        <v>0</v>
      </c>
      <c r="AYB2" t="e">
        <f ca="1">IF(RiskValStatic(0.3)+_xll.RiskSimtable(RiskSimTable_Inputs!E3:E5)&lt;=Model!$F$99,Model!E39,0)</f>
        <v>#NAME?</v>
      </c>
      <c r="AYC2" s="79">
        <f>Model!$F$54</f>
        <v>0</v>
      </c>
      <c r="AYD2" t="e">
        <f ca="1">IF(RiskValStatic(0.3)+_xll.RiskSimtable(RiskSimTable_Inputs!F3:F5)&lt;=Model!$F$99,Model!F39,0)</f>
        <v>#NAME?</v>
      </c>
      <c r="AYE2" s="79">
        <f>Model!$G$54</f>
        <v>0</v>
      </c>
      <c r="AYF2" t="e">
        <f ca="1">IF(RiskValStatic(0.3)+_xll.RiskSimtable(RiskSimTable_Inputs!G3:G5)&lt;=Model!$F$99,Model!G39,0)</f>
        <v>#NAME?</v>
      </c>
      <c r="AYG2" s="79">
        <f>Model!$H$54</f>
        <v>0</v>
      </c>
      <c r="AYH2" t="e">
        <f ca="1">IF(RiskValStatic(0.3)+_xll.RiskSimtable(RiskSimTable_Inputs!H3:H5)&lt;=Model!$F$99,Model!H39,0)</f>
        <v>#NAME?</v>
      </c>
      <c r="AYI2" s="79">
        <f>Model!$I$54</f>
        <v>0</v>
      </c>
      <c r="AYJ2" t="e">
        <f ca="1">IF(RiskValStatic(0.3)+_xll.RiskSimtable(RiskSimTable_Inputs!I3:I5)&lt;=Model!$F$99,Model!I39,0)</f>
        <v>#NAME?</v>
      </c>
      <c r="AYK2" s="79">
        <f>Model!$J$54</f>
        <v>0</v>
      </c>
      <c r="AYL2" t="e">
        <f ca="1">IF(RiskValStatic(0.3)+_xll.RiskSimtable(RiskSimTable_Inputs!J3:J5)&lt;=Model!$F$99,Model!J39,0)</f>
        <v>#NAME?</v>
      </c>
      <c r="AYM2" s="79">
        <f>Model!$K$54</f>
        <v>0</v>
      </c>
      <c r="AYN2" t="e">
        <f ca="1">IF(RiskValStatic(0.3)+_xll.RiskSimtable(RiskSimTable_Inputs!K3:K5)&lt;=Model!$F$99,Model!K39,0)</f>
        <v>#NAME?</v>
      </c>
      <c r="AYO2" s="79">
        <f>Model!$L$54</f>
        <v>0</v>
      </c>
      <c r="AYP2" t="e">
        <f ca="1">IF(RiskValStatic(0.3)+_xll.RiskSimtable(RiskSimTable_Inputs!L3:L5)&lt;=Model!$F$99,Model!L39,0)</f>
        <v>#NAME?</v>
      </c>
      <c r="AYQ2" s="79">
        <f>Model!$M$54</f>
        <v>0</v>
      </c>
      <c r="AYR2" t="e">
        <f ca="1">IF(RiskValStatic(0.3)+_xll.RiskSimtable(RiskSimTable_Inputs!M3:M5)&lt;=Model!$F$99,Model!M39,0)</f>
        <v>#NAME?</v>
      </c>
      <c r="AYS2" s="79">
        <f>Model!$N$54</f>
        <v>0</v>
      </c>
      <c r="AYT2" t="e">
        <f ca="1">IF(RiskValStatic(0.3)+_xll.RiskSimtable(RiskSimTable_Inputs!N3:N5)&lt;=Model!$F$99,Model!N39,0)</f>
        <v>#NAME?</v>
      </c>
      <c r="AYU2" s="79">
        <f>Model!$O$54</f>
        <v>0</v>
      </c>
      <c r="AYV2" t="e">
        <f ca="1">IF(RiskValStatic(0.3)+_xll.RiskSimtable(RiskSimTable_Inputs!O3:O5)&lt;=Model!$F$99,Model!O39,0)</f>
        <v>#NAME?</v>
      </c>
      <c r="AYW2" s="79">
        <f>Model!$P$54</f>
        <v>0</v>
      </c>
      <c r="AYX2" t="e">
        <f ca="1">IF(RiskValStatic(0.3)+_xll.RiskSimtable(RiskSimTable_Inputs!P3:P5)&lt;=Model!$F$99,Model!P39,0)</f>
        <v>#NAME?</v>
      </c>
      <c r="AYY2" s="79">
        <f>Model!$Q$54</f>
        <v>0</v>
      </c>
      <c r="AYZ2" t="e">
        <f ca="1">IF(RiskValStatic(0.3)+_xll.RiskSimtable(RiskSimTable_Inputs!Q3:Q5)&lt;=Model!$F$99,Model!Q39,0)</f>
        <v>#NAME?</v>
      </c>
      <c r="AZA2" s="79">
        <f>Model!$R$54</f>
        <v>0</v>
      </c>
      <c r="AZB2" t="e">
        <f ca="1">IF(RiskValStatic(0.3)+_xll.RiskSimtable(RiskSimTable_Inputs!R3:R5)&lt;=Model!$F$99,Model!R39,0)</f>
        <v>#NAME?</v>
      </c>
      <c r="AZC2" s="79">
        <f>Model!$S$54</f>
        <v>0</v>
      </c>
      <c r="AZD2" t="e">
        <f ca="1">IF(RiskValStatic(0.3)+_xll.RiskSimtable(RiskSimTable_Inputs!S3:S5)&lt;=Model!$F$99,Model!S39,0)</f>
        <v>#NAME?</v>
      </c>
      <c r="AZE2" s="79">
        <f>Model!$T$54</f>
        <v>0</v>
      </c>
      <c r="AZF2" t="e">
        <f ca="1">IF(RiskValStatic(0.3)+_xll.RiskSimtable(RiskSimTable_Inputs!T3:T5)&lt;=Model!$F$99,Model!T39,0)</f>
        <v>#NAME?</v>
      </c>
      <c r="AZG2" s="79">
        <f>Model!$U$54</f>
        <v>0</v>
      </c>
      <c r="AZH2" t="e">
        <f ca="1">IF(RiskValStatic(0.3)+_xll.RiskSimtable(RiskSimTable_Inputs!U3:U5)&lt;=Model!$F$99,Model!U39,0)</f>
        <v>#NAME?</v>
      </c>
      <c r="AZI2" s="79">
        <f>Model!$V$54</f>
        <v>0</v>
      </c>
      <c r="AZJ2" t="e">
        <f ca="1">IF(RiskValStatic(0.3)+_xll.RiskSimtable(RiskSimTable_Inputs!V3:V5)&lt;=Model!$F$99,Model!V39,0)</f>
        <v>#NAME?</v>
      </c>
      <c r="AZK2" s="79">
        <f>Model!$W$54</f>
        <v>0</v>
      </c>
      <c r="AZL2" t="e">
        <f ca="1">IF(RiskValStatic(0.3)+_xll.RiskSimtable(RiskSimTable_Inputs!W3:W5)&lt;=Model!$F$99,Model!W39,0)</f>
        <v>#NAME?</v>
      </c>
      <c r="AZM2" s="79">
        <f>Model!$X$54</f>
        <v>0</v>
      </c>
      <c r="AZN2" t="e">
        <f ca="1">IF(RiskValStatic(0.3)+_xll.RiskSimtable(RiskSimTable_Inputs!X3:X5)&lt;=Model!$F$99,Model!X39,0)</f>
        <v>#NAME?</v>
      </c>
      <c r="AZO2" s="79">
        <f>Model!$Y$54</f>
        <v>0</v>
      </c>
      <c r="AZP2" t="e">
        <f ca="1">IF(RiskValStatic(0.3)+_xll.RiskSimtable(RiskSimTable_Inputs!Y3:Y5)&lt;=Model!$F$99,Model!Y39,0)</f>
        <v>#NAME?</v>
      </c>
      <c r="AZQ2" s="79">
        <f>Model!$Z$54</f>
        <v>0</v>
      </c>
      <c r="AZR2" t="e">
        <f ca="1">IF(RiskValStatic(0.3)+_xll.RiskSimtable(RiskSimTable_Inputs!Z3:Z5)&lt;=Model!$F$99,Model!Z39,0)</f>
        <v>#NAME?</v>
      </c>
      <c r="AZS2" s="79">
        <f>Model!$AA$54</f>
        <v>0</v>
      </c>
      <c r="AZT2" t="e">
        <f ca="1">IF(RiskValStatic(0.3)+_xll.RiskSimtable(RiskSimTable_Inputs!AA3:AA5)&lt;=Model!$F$99,Model!AA39,0)</f>
        <v>#NAME?</v>
      </c>
      <c r="AZU2" s="79">
        <f>Model!$AB$54</f>
        <v>0</v>
      </c>
      <c r="AZV2" t="e">
        <f ca="1">IF(RiskValStatic(0.3)+_xll.RiskSimtable(RiskSimTable_Inputs!AB3:AB5)&lt;=Model!$F$99,Model!AB39,0)</f>
        <v>#NAME?</v>
      </c>
      <c r="AZW2" s="79">
        <f>Model!$AC$54</f>
        <v>0</v>
      </c>
      <c r="AZX2" t="e">
        <f ca="1">IF(RiskValStatic(0.3)+_xll.RiskSimtable(RiskSimTable_Inputs!AC3:AC5)&lt;=Model!$F$99,Model!AC39,0)</f>
        <v>#NAME?</v>
      </c>
      <c r="AZY2" s="79">
        <f>Model!$AD$54</f>
        <v>0</v>
      </c>
      <c r="AZZ2" t="e">
        <f ca="1">IF(RiskValStatic(0.3)+_xll.RiskSimtable(RiskSimTable_Inputs!AD3:AD5)&lt;=Model!$F$99,Model!AD39,0)</f>
        <v>#NAME?</v>
      </c>
      <c r="BAA2" s="79">
        <f>Model!$AE$54</f>
        <v>0</v>
      </c>
      <c r="BAB2" t="e">
        <f ca="1">IF(RiskValStatic(0.3)+_xll.RiskSimtable(RiskSimTable_Inputs!AE3:AE5)&lt;=Model!$F$99,Model!AE39,0)</f>
        <v>#NAME?</v>
      </c>
      <c r="BAC2">
        <f>Model!$B$55</f>
        <v>236365.87008500006</v>
      </c>
      <c r="BAD2" t="e">
        <f ca="1">_xll.RiskOutput("WW Net W/INS")+IF(RiskValStatic(0.3)+_xll.RiskSimtable(RiskSimTable_Inputs!B3:B5)&lt;=Model!$F$99,(Model!B54-Model!B11+Model!B13),(Model!B13-Model!B10))</f>
        <v>#VALUE!</v>
      </c>
      <c r="BAE2">
        <f>Model!$C$55</f>
        <v>236365.87008500006</v>
      </c>
      <c r="BAF2" t="e">
        <f ca="1">_xll.RiskOutput("WW Net W/INS")+IF(RiskValStatic(0.3)+_xll.RiskSimtable(RiskSimTable_Inputs!C3:C5)&lt;=Model!$F$99,(Model!C54-Model!C11+Model!C13),(Model!C13-Model!C10))</f>
        <v>#VALUE!</v>
      </c>
      <c r="BAG2">
        <f>Model!$D$55</f>
        <v>236365.87008500006</v>
      </c>
      <c r="BAH2" t="e">
        <f ca="1">_xll.RiskOutput("WW Net W/INS")+IF(RiskValStatic(0.3)+_xll.RiskSimtable(RiskSimTable_Inputs!D3:D5)&lt;=Model!$F$99,(Model!D54-Model!D11+Model!D13),(Model!D13-Model!D10))</f>
        <v>#VALUE!</v>
      </c>
      <c r="BAI2">
        <f>Model!$E$55</f>
        <v>236365.87008500006</v>
      </c>
      <c r="BAJ2" t="e">
        <f ca="1">_xll.RiskOutput("WW Net W/INS")+IF(RiskValStatic(0.3)+_xll.RiskSimtable(RiskSimTable_Inputs!E3:E5)&lt;=Model!$F$99,(Model!E54-Model!E11+Model!E13),(Model!E13-Model!E10))</f>
        <v>#VALUE!</v>
      </c>
      <c r="BAK2">
        <f>Model!$F$55</f>
        <v>236365.87008500006</v>
      </c>
      <c r="BAL2" t="e">
        <f ca="1">_xll.RiskOutput("WW Net W/INS")+IF(RiskValStatic(0.3)+_xll.RiskSimtable(RiskSimTable_Inputs!F3:F5)&lt;=Model!$F$99,(Model!F54-Model!F11+Model!F13),(Model!F13-Model!F10))</f>
        <v>#VALUE!</v>
      </c>
      <c r="BAM2">
        <f>Model!$G$55</f>
        <v>236365.87008500006</v>
      </c>
      <c r="BAN2" t="e">
        <f ca="1">_xll.RiskOutput("WW Net W/INS")+IF(RiskValStatic(0.3)+_xll.RiskSimtable(RiskSimTable_Inputs!G3:G5)&lt;=Model!$F$99,(Model!G54-Model!G11+Model!G13),(Model!G13-Model!G10))</f>
        <v>#VALUE!</v>
      </c>
      <c r="BAO2">
        <f>Model!$H$55</f>
        <v>236365.87008500006</v>
      </c>
      <c r="BAP2" t="e">
        <f ca="1">_xll.RiskOutput("WW Net W/INS")+IF(RiskValStatic(0.3)+_xll.RiskSimtable(RiskSimTable_Inputs!H3:H5)&lt;=Model!$F$99,(Model!H54-Model!H11+Model!H13),(Model!H13-Model!H10))</f>
        <v>#VALUE!</v>
      </c>
      <c r="BAQ2">
        <f>Model!$I$55</f>
        <v>236365.87008500006</v>
      </c>
      <c r="BAR2" t="e">
        <f ca="1">_xll.RiskOutput("WW Net W/INS")+IF(RiskValStatic(0.3)+_xll.RiskSimtable(RiskSimTable_Inputs!I3:I5)&lt;=Model!$F$99,(Model!I54-Model!I11+Model!I13),(Model!I13-Model!I10))</f>
        <v>#VALUE!</v>
      </c>
      <c r="BAS2">
        <f>Model!$J$55</f>
        <v>236365.87008500006</v>
      </c>
      <c r="BAT2" t="e">
        <f ca="1">_xll.RiskOutput("WW Net W/INS")+IF(RiskValStatic(0.3)+_xll.RiskSimtable(RiskSimTable_Inputs!J3:J5)&lt;=Model!$F$99,(Model!J54-Model!J11+Model!J13),(Model!J13-Model!J10))</f>
        <v>#VALUE!</v>
      </c>
      <c r="BAU2">
        <f>Model!$K$55</f>
        <v>236365.87008500006</v>
      </c>
      <c r="BAV2" t="e">
        <f ca="1">_xll.RiskOutput("WW Net W/INS")+IF(RiskValStatic(0.3)+_xll.RiskSimtable(RiskSimTable_Inputs!K3:K5)&lt;=Model!$F$99,(Model!K54-Model!K11+Model!K13),(Model!K13-Model!K10))</f>
        <v>#VALUE!</v>
      </c>
      <c r="BAW2">
        <f>Model!$L$55</f>
        <v>236365.87008500006</v>
      </c>
      <c r="BAX2" t="e">
        <f ca="1">_xll.RiskOutput("WW Net W/INS")+IF(RiskValStatic(0.3)+_xll.RiskSimtable(RiskSimTable_Inputs!L3:L5)&lt;=Model!$F$99,(Model!L54-Model!L11+Model!L13),(Model!L13-Model!L10))</f>
        <v>#VALUE!</v>
      </c>
      <c r="BAY2">
        <f>Model!$M$55</f>
        <v>236365.87008500006</v>
      </c>
      <c r="BAZ2" t="e">
        <f ca="1">_xll.RiskOutput("WW Net W/INS")+IF(RiskValStatic(0.3)+_xll.RiskSimtable(RiskSimTable_Inputs!M3:M5)&lt;=Model!$F$99,(Model!M54-Model!M11+Model!M13),(Model!M13-Model!M10))</f>
        <v>#VALUE!</v>
      </c>
      <c r="BBA2">
        <f>Model!$N$55</f>
        <v>236365.87008500006</v>
      </c>
      <c r="BBB2" t="e">
        <f ca="1">_xll.RiskOutput("WW Net W/INS")+IF(RiskValStatic(0.3)+_xll.RiskSimtable(RiskSimTable_Inputs!N3:N5)&lt;=Model!$F$99,(Model!N54-Model!N11+Model!N13),(Model!N13-Model!N10))</f>
        <v>#VALUE!</v>
      </c>
      <c r="BBC2">
        <f>Model!$O$55</f>
        <v>236365.87008500006</v>
      </c>
      <c r="BBD2" t="e">
        <f ca="1">_xll.RiskOutput("WW Net W/INS")+IF(RiskValStatic(0.3)+_xll.RiskSimtable(RiskSimTable_Inputs!O3:O5)&lt;=Model!$F$99,(Model!O54-Model!O11+Model!O13),(Model!O13-Model!O10))</f>
        <v>#VALUE!</v>
      </c>
      <c r="BBE2">
        <f>Model!$P$55</f>
        <v>236365.87008500006</v>
      </c>
      <c r="BBF2" t="e">
        <f ca="1">_xll.RiskOutput("WW Net W/INS")+IF(RiskValStatic(0.3)+_xll.RiskSimtable(RiskSimTable_Inputs!P3:P5)&lt;=Model!$F$99,(Model!P54-Model!P11+Model!P13),(Model!P13-Model!P10))</f>
        <v>#VALUE!</v>
      </c>
      <c r="BBG2">
        <f>Model!$Q$55</f>
        <v>236365.87008500006</v>
      </c>
      <c r="BBH2" t="e">
        <f ca="1">_xll.RiskOutput("WW Net W/INS")+IF(RiskValStatic(0.3)+_xll.RiskSimtable(RiskSimTable_Inputs!Q3:Q5)&lt;=Model!$F$99,(Model!Q54-Model!Q11+Model!Q13),(Model!Q13-Model!Q10))</f>
        <v>#VALUE!</v>
      </c>
      <c r="BBI2">
        <f>Model!$R$55</f>
        <v>236365.87008500006</v>
      </c>
      <c r="BBJ2" t="e">
        <f ca="1">_xll.RiskOutput("WW Net W/INS")+IF(RiskValStatic(0.3)+_xll.RiskSimtable(RiskSimTable_Inputs!R3:R5)&lt;=Model!$F$99,(Model!R54-Model!R11+Model!R13),(Model!R13-Model!R10))</f>
        <v>#VALUE!</v>
      </c>
      <c r="BBK2">
        <f>Model!$S$55</f>
        <v>236365.87008500006</v>
      </c>
      <c r="BBL2" t="e">
        <f ca="1">_xll.RiskOutput("WW Net W/INS")+IF(RiskValStatic(0.3)+_xll.RiskSimtable(RiskSimTable_Inputs!S3:S5)&lt;=Model!$F$99,(Model!S54-Model!S11+Model!S13),(Model!S13-Model!S10))</f>
        <v>#VALUE!</v>
      </c>
      <c r="BBM2">
        <f>Model!$T$55</f>
        <v>236365.87008500006</v>
      </c>
      <c r="BBN2" t="e">
        <f ca="1">_xll.RiskOutput("WW Net W/INS")+IF(RiskValStatic(0.3)+_xll.RiskSimtable(RiskSimTable_Inputs!T3:T5)&lt;=Model!$F$99,(Model!T54-Model!T11+Model!T13),(Model!T13-Model!T10))</f>
        <v>#VALUE!</v>
      </c>
      <c r="BBO2">
        <f>Model!$U$55</f>
        <v>236365.87008500006</v>
      </c>
      <c r="BBP2" t="e">
        <f ca="1">_xll.RiskOutput("WW Net W/INS")+IF(RiskValStatic(0.3)+_xll.RiskSimtable(RiskSimTable_Inputs!U3:U5)&lt;=Model!$F$99,(Model!U54-Model!U11+Model!U13),(Model!U13-Model!U10))</f>
        <v>#VALUE!</v>
      </c>
      <c r="BBQ2">
        <f>Model!$V$55</f>
        <v>236365.87008500006</v>
      </c>
      <c r="BBR2" t="e">
        <f ca="1">_xll.RiskOutput("WW Net W/INS")+IF(RiskValStatic(0.3)+_xll.RiskSimtable(RiskSimTable_Inputs!V3:V5)&lt;=Model!$F$99,(Model!V54-Model!V11+Model!V13),(Model!V13-Model!V10))</f>
        <v>#VALUE!</v>
      </c>
      <c r="BBS2">
        <f>Model!$W$55</f>
        <v>236365.87008500006</v>
      </c>
      <c r="BBT2" t="e">
        <f ca="1">_xll.RiskOutput("WW Net W/INS")+IF(RiskValStatic(0.3)+_xll.RiskSimtable(RiskSimTable_Inputs!W3:W5)&lt;=Model!$F$99,(Model!W54-Model!W11+Model!W13),(Model!W13-Model!W10))</f>
        <v>#VALUE!</v>
      </c>
      <c r="BBU2">
        <f>Model!$X$55</f>
        <v>236365.87008500006</v>
      </c>
      <c r="BBV2" t="e">
        <f ca="1">_xll.RiskOutput("WW Net W/INS")+IF(RiskValStatic(0.3)+_xll.RiskSimtable(RiskSimTable_Inputs!X3:X5)&lt;=Model!$F$99,(Model!X54-Model!X11+Model!X13),(Model!X13-Model!X10))</f>
        <v>#VALUE!</v>
      </c>
      <c r="BBW2">
        <f>Model!$Y$55</f>
        <v>236365.87008500006</v>
      </c>
      <c r="BBX2" t="e">
        <f ca="1">_xll.RiskOutput("WW Net W/INS")+IF(RiskValStatic(0.3)+_xll.RiskSimtable(RiskSimTable_Inputs!Y3:Y5)&lt;=Model!$F$99,(Model!Y54-Model!Y11+Model!Y13),(Model!Y13-Model!Y10))</f>
        <v>#VALUE!</v>
      </c>
      <c r="BBY2">
        <f>Model!$Z$55</f>
        <v>236365.87008500006</v>
      </c>
      <c r="BBZ2" t="e">
        <f ca="1">_xll.RiskOutput("WW Net W/INS")+IF(RiskValStatic(0.3)+_xll.RiskSimtable(RiskSimTable_Inputs!Z3:Z5)&lt;=Model!$F$99,(Model!Z54-Model!Z11+Model!Z13),(Model!Z13-Model!Z10))</f>
        <v>#VALUE!</v>
      </c>
      <c r="BCA2">
        <f>Model!$AA$55</f>
        <v>236365.87008500006</v>
      </c>
      <c r="BCB2" t="e">
        <f ca="1">_xll.RiskOutput("WW Net W/INS")+IF(RiskValStatic(0.3)+_xll.RiskSimtable(RiskSimTable_Inputs!AA3:AA5)&lt;=Model!$F$99,(Model!AA54-Model!AA11+Model!AA13),(Model!AA13-Model!AA10))</f>
        <v>#VALUE!</v>
      </c>
      <c r="BCC2">
        <f>Model!$AB$55</f>
        <v>236365.87008500006</v>
      </c>
      <c r="BCD2" t="e">
        <f ca="1">_xll.RiskOutput("WW Net W/INS")+IF(RiskValStatic(0.3)+_xll.RiskSimtable(RiskSimTable_Inputs!AB3:AB5)&lt;=Model!$F$99,(Model!AB54-Model!AB11+Model!AB13),(Model!AB13-Model!AB10))</f>
        <v>#VALUE!</v>
      </c>
      <c r="BCE2">
        <f>Model!$AC$55</f>
        <v>236365.87008500006</v>
      </c>
      <c r="BCF2" t="e">
        <f ca="1">_xll.RiskOutput("WW Net W/INS")+IF(RiskValStatic(0.3)+_xll.RiskSimtable(RiskSimTable_Inputs!AC3:AC5)&lt;=Model!$F$99,(Model!AC54-Model!AC11+Model!AC13),(Model!AC13-Model!AC10))</f>
        <v>#VALUE!</v>
      </c>
      <c r="BCG2">
        <f>Model!$AD$55</f>
        <v>236365.87008500006</v>
      </c>
      <c r="BCH2" t="e">
        <f ca="1">_xll.RiskOutput("WW Net W/INS")+IF(RiskValStatic(0.3)+_xll.RiskSimtable(RiskSimTable_Inputs!AD3:AD5)&lt;=Model!$F$99,(Model!AD54-Model!AD11+Model!AD13),(Model!AD13-Model!AD10))</f>
        <v>#VALUE!</v>
      </c>
      <c r="BCI2">
        <f>Model!$AE$55</f>
        <v>236365.87008500006</v>
      </c>
      <c r="BCJ2" t="e">
        <f ca="1">_xll.RiskOutput("WW Net W/INS")+IF(RiskValStatic(0.3)+_xll.RiskSimtable(RiskSimTable_Inputs!AE3:AE5)&lt;=Model!$F$99,(Model!AE54-Model!AE11+Model!AE13),(Model!AE13-Model!AE10))</f>
        <v>#VALUE!</v>
      </c>
      <c r="BCK2">
        <f>Model!$B$56</f>
        <v>4632875.3736174349</v>
      </c>
      <c r="BCL2" s="4" t="e">
        <f ca="1">_xll.RiskOutput("WW NPV") + NPV(3%,Model!B55:$AE55)</f>
        <v>#VALUE!</v>
      </c>
      <c r="BCM2">
        <f>Model!$C$56</f>
        <v>4535495.7647409579</v>
      </c>
      <c r="BCN2" s="4" t="e">
        <f ca="1">_xll.RiskOutput("WW NPV") + NPV(3%,Model!C55:$AE55)</f>
        <v>#VALUE!</v>
      </c>
      <c r="BCO2">
        <f>Model!$D$56</f>
        <v>4435194.7675981866</v>
      </c>
      <c r="BCP2" s="4" t="e">
        <f ca="1">_xll.RiskOutput("WW NPV") + NPV(3%,Model!D55:$AE55)</f>
        <v>#VALUE!</v>
      </c>
      <c r="BCQ2">
        <f>Model!$E$56</f>
        <v>4331884.7405411322</v>
      </c>
      <c r="BCR2" s="4" t="e">
        <f ca="1">_xll.RiskOutput("WW NPV") + NPV(3%,Model!E55:$AE55)</f>
        <v>#VALUE!</v>
      </c>
      <c r="BCS2">
        <f>Model!$F$56</f>
        <v>4225475.412672366</v>
      </c>
      <c r="BCT2" s="4" t="e">
        <f ca="1">_xll.RiskOutput("WW NPV") + NPV(3%,Model!F55:$AE55)</f>
        <v>#VALUE!</v>
      </c>
      <c r="BCU2">
        <f>Model!$G$56</f>
        <v>4115873.8049675375</v>
      </c>
      <c r="BCV2" s="4" t="e">
        <f ca="1">_xll.RiskOutput("WW NPV") + NPV(3%,Model!G55:$AE55)</f>
        <v>#VALUE!</v>
      </c>
      <c r="BCW2">
        <f>Model!$H$56</f>
        <v>4002984.1490315632</v>
      </c>
      <c r="BCX2" s="4" t="e">
        <f ca="1">_xll.RiskOutput("WW NPV") + NPV(3%,Model!H55:$AE55)</f>
        <v>#VALUE!</v>
      </c>
      <c r="BCY2">
        <f>Model!$I$56</f>
        <v>3886707.8034175104</v>
      </c>
      <c r="BCZ2" s="4" t="e">
        <f ca="1">_xll.RiskOutput("WW NPV") + NPV(3%,Model!I55:$AE55)</f>
        <v>#VALUE!</v>
      </c>
      <c r="BDA2">
        <f>Model!$J$56</f>
        <v>3766943.1674350356</v>
      </c>
      <c r="BDB2" s="4" t="e">
        <f ca="1">_xll.RiskOutput("WW NPV") + NPV(3%,Model!J55:$AE55)</f>
        <v>#VALUE!</v>
      </c>
      <c r="BDC2">
        <f>Model!$K$56</f>
        <v>3643585.5923730866</v>
      </c>
      <c r="BDD2" s="4" t="e">
        <f ca="1">_xll.RiskOutput("WW NPV") + NPV(3%,Model!K55:$AE55)</f>
        <v>#VALUE!</v>
      </c>
      <c r="BDE2">
        <f>Model!$L$56</f>
        <v>3516527.2900592792</v>
      </c>
      <c r="BDF2" s="4" t="e">
        <f ca="1">_xll.RiskOutput("WW NPV") + NPV(3%,Model!L55:$AE55)</f>
        <v>#VALUE!</v>
      </c>
      <c r="BDG2">
        <f>Model!$M$56</f>
        <v>3385657.2386760577</v>
      </c>
      <c r="BDH2" s="4" t="e">
        <f ca="1">_xll.RiskOutput("WW NPV") + NPV(3%,Model!M55:$AE55)</f>
        <v>#VALUE!</v>
      </c>
      <c r="BDI2">
        <f>Model!$N$56</f>
        <v>3250861.0857513393</v>
      </c>
      <c r="BDJ2" s="4" t="e">
        <f ca="1">_xll.RiskOutput("WW NPV") + NPV(3%,Model!N55:$AE55)</f>
        <v>#VALUE!</v>
      </c>
      <c r="BDK2">
        <f>Model!$O$56</f>
        <v>3112021.0482388795</v>
      </c>
      <c r="BDL2" s="4" t="e">
        <f ca="1">_xll.RiskOutput("WW NPV") + NPV(3%,Model!O55:$AE55)</f>
        <v>#VALUE!</v>
      </c>
      <c r="BDM2">
        <f>Model!$P$56</f>
        <v>2969015.8096010461</v>
      </c>
      <c r="BDN2" s="4" t="e">
        <f ca="1">_xll.RiskOutput("WW NPV") + NPV(3%,Model!P55:$AE55)</f>
        <v>#VALUE!</v>
      </c>
      <c r="BDO2">
        <f>Model!$Q$56</f>
        <v>2821720.4138040775</v>
      </c>
      <c r="BDP2" s="4" t="e">
        <f ca="1">_xll.RiskOutput("WW NPV") + NPV(3%,Model!Q55:$AE55)</f>
        <v>#VALUE!</v>
      </c>
      <c r="BDQ2">
        <f>Model!$R$56</f>
        <v>2670006.1561332</v>
      </c>
      <c r="BDR2" s="4" t="e">
        <f ca="1">_xll.RiskOutput("WW NPV") + NPV(3%,Model!R55:$AE55)</f>
        <v>#VALUE!</v>
      </c>
      <c r="BDS2">
        <f>Model!$S$56</f>
        <v>2513740.4707321962</v>
      </c>
      <c r="BDT2" s="4" t="e">
        <f ca="1">_xll.RiskOutput("WW NPV") + NPV(3%,Model!S55:$AE55)</f>
        <v>#VALUE!</v>
      </c>
      <c r="BDU2">
        <f>Model!$T$56</f>
        <v>2352786.8147691623</v>
      </c>
      <c r="BDV2" s="4" t="e">
        <f ca="1">_xll.RiskOutput("WW NPV") + NPV(3%,Model!T55:$AE55)</f>
        <v>#VALUE!</v>
      </c>
      <c r="BDW2">
        <f>Model!$U$56</f>
        <v>2187004.5491272374</v>
      </c>
      <c r="BDX2" s="4" t="e">
        <f ca="1">_xll.RiskOutput("WW NPV") + NPV(3%,Model!U55:$AE55)</f>
        <v>#VALUE!</v>
      </c>
      <c r="BDY2">
        <f>Model!$V$56</f>
        <v>2016248.8155160546</v>
      </c>
      <c r="BDZ2" s="4" t="e">
        <f ca="1">_xll.RiskOutput("WW NPV") + NPV(3%,Model!V55:$AE55)</f>
        <v>#VALUE!</v>
      </c>
      <c r="BEA2">
        <f>Model!$W$56</f>
        <v>1840370.4098965363</v>
      </c>
      <c r="BEB2" s="4" t="e">
        <f ca="1">_xll.RiskOutput("WW NPV") + NPV(3%,Model!W55:$AE55)</f>
        <v>#VALUE!</v>
      </c>
      <c r="BEC2">
        <f>Model!$X$56</f>
        <v>1659215.6521084323</v>
      </c>
      <c r="BED2" s="4" t="e">
        <f ca="1">_xll.RiskOutput("WW NPV") + NPV(3%,Model!X55:$AE55)</f>
        <v>#VALUE!</v>
      </c>
      <c r="BEE2">
        <f>Model!$Y$56</f>
        <v>1472626.2515866852</v>
      </c>
      <c r="BEF2" s="4" t="e">
        <f ca="1">_xll.RiskOutput("WW NPV") + NPV(3%,Model!Y55:$AE55)</f>
        <v>#VALUE!</v>
      </c>
      <c r="BEG2">
        <f>Model!$Z$56</f>
        <v>1280439.1690492858</v>
      </c>
      <c r="BEH2" s="4" t="e">
        <f ca="1">_xll.RiskOutput("WW NPV") + NPV(3%,Model!Z55:$AE55)</f>
        <v>#VALUE!</v>
      </c>
      <c r="BEI2">
        <f>Model!$AA$56</f>
        <v>1082486.4740357643</v>
      </c>
      <c r="BEJ2" s="4" t="e">
        <f ca="1">_xll.RiskOutput("WW NPV") + NPV(3%,Model!AA55:$AE55)</f>
        <v>#VALUE!</v>
      </c>
      <c r="BEK2">
        <f>Model!$AB$56</f>
        <v>878595.19817183714</v>
      </c>
      <c r="BEL2" s="4" t="e">
        <f ca="1">_xll.RiskOutput("WW NPV") + NPV(3%,Model!AB55:$AE55)</f>
        <v>#VALUE!</v>
      </c>
      <c r="BEM2">
        <f>Model!$AC$56</f>
        <v>668587.1840319921</v>
      </c>
      <c r="BEN2" s="4" t="e">
        <f ca="1">_xll.RiskOutput("WW NPV") + NPV(3%,Model!AC55:$AE55)</f>
        <v>#VALUE!</v>
      </c>
      <c r="BEO2">
        <f>Model!$AD$56</f>
        <v>452278.92946795188</v>
      </c>
      <c r="BEP2" s="4" t="e">
        <f ca="1">_xll.RiskOutput("WW NPV") + NPV(3%,Model!AD55:$AE55)</f>
        <v>#VALUE!</v>
      </c>
      <c r="BEQ2">
        <f>Model!$AE$56</f>
        <v>229481.42726699036</v>
      </c>
      <c r="BER2" s="4" t="e">
        <f ca="1">_xll.RiskOutput("WW NPV") + NPV(3%,Model!AE55:$AE55)</f>
        <v>#VALUE!</v>
      </c>
      <c r="BES2">
        <f>Model!$B$58</f>
        <v>69953.712580000007</v>
      </c>
      <c r="BET2" t="e">
        <f ca="1">RiskValStatic(69953.71258)+_xll.RiskMean(Model!B55,1)</f>
        <v>#NAME?</v>
      </c>
      <c r="BEU2">
        <f>Model!$C$58</f>
        <v>69673.533490000002</v>
      </c>
      <c r="BEV2" t="e">
        <f ca="1">RiskValStatic(69673.53349)+_xll.RiskMean(Model!C55,1)</f>
        <v>#NAME?</v>
      </c>
      <c r="BEW2">
        <f>Model!$D$58</f>
        <v>67440.190799999997</v>
      </c>
      <c r="BEX2" t="e">
        <f ca="1">RiskValStatic(67440.1908)+_xll.RiskMean(Model!D55,1)</f>
        <v>#NAME?</v>
      </c>
      <c r="BEY2">
        <f>Model!$E$58</f>
        <v>70846.667629999996</v>
      </c>
      <c r="BEZ2" t="e">
        <f ca="1">RiskValStatic(70846.66763)+_xll.RiskMean(Model!E55,1)</f>
        <v>#NAME?</v>
      </c>
      <c r="BFA2">
        <f>Model!$F$58</f>
        <v>73844.372390000004</v>
      </c>
      <c r="BFB2" t="e">
        <f ca="1">RiskValStatic(73844.37239)+_xll.RiskMean(Model!F55,1)</f>
        <v>#NAME?</v>
      </c>
      <c r="BFC2">
        <f>Model!$G$58</f>
        <v>69122.450389999998</v>
      </c>
      <c r="BFD2" t="e">
        <f ca="1">RiskValStatic(69122.45039)+_xll.RiskMean(Model!G55,1)</f>
        <v>#NAME?</v>
      </c>
      <c r="BFE2">
        <f>Model!$H$58</f>
        <v>70935.533850000007</v>
      </c>
      <c r="BFF2" t="e">
        <f ca="1">RiskValStatic(70935.53385)+_xll.RiskMean(Model!H55,1)</f>
        <v>#NAME?</v>
      </c>
      <c r="BFG2">
        <f>Model!$I$58</f>
        <v>68245.132610000001</v>
      </c>
      <c r="BFH2" t="e">
        <f ca="1">RiskValStatic(68245.13261)+_xll.RiskMean(Model!I55,1)</f>
        <v>#NAME?</v>
      </c>
      <c r="BFI2">
        <f>Model!$J$58</f>
        <v>70026.623349999994</v>
      </c>
      <c r="BFJ2" t="e">
        <f ca="1">RiskValStatic(70026.62335)+_xll.RiskMean(Model!J55,1)</f>
        <v>#NAME?</v>
      </c>
      <c r="BFK2">
        <f>Model!$K$58</f>
        <v>71648.352360000004</v>
      </c>
      <c r="BFL2" t="e">
        <f ca="1">RiskValStatic(71648.35236)+_xll.RiskMean(Model!K55,1)</f>
        <v>#NAME?</v>
      </c>
      <c r="BFM2">
        <f>Model!$L$58</f>
        <v>66941.133390000003</v>
      </c>
      <c r="BFN2" t="e">
        <f ca="1">RiskValStatic(66941.13339)+_xll.RiskMean(Model!L55,1)</f>
        <v>#NAME?</v>
      </c>
      <c r="BFO2">
        <f>Model!$M$58</f>
        <v>68354.963099999994</v>
      </c>
      <c r="BFP2" t="e">
        <f ca="1">RiskValStatic(68354.9631)+_xll.RiskMean(Model!M55,1)</f>
        <v>#NAME?</v>
      </c>
      <c r="BFQ2">
        <f>Model!$N$58</f>
        <v>70800.481329999995</v>
      </c>
      <c r="BFR2" t="e">
        <f ca="1">RiskValStatic(70800.48133)+_xll.RiskMean(Model!N55,1)</f>
        <v>#NAME?</v>
      </c>
      <c r="BFS2">
        <f>Model!$O$58</f>
        <v>71045.171929999997</v>
      </c>
      <c r="BFT2" t="e">
        <f ca="1">RiskValStatic(71045.17193)+_xll.RiskMean(Model!O55,1)</f>
        <v>#NAME?</v>
      </c>
      <c r="BFU2">
        <f>Model!$P$58</f>
        <v>70656.758000000002</v>
      </c>
      <c r="BFV2" t="e">
        <f ca="1">RiskValStatic(70656.758)+_xll.RiskMean(Model!P55,1)</f>
        <v>#NAME?</v>
      </c>
      <c r="BFW2">
        <f>Model!$Q$58</f>
        <v>72522.861860000005</v>
      </c>
      <c r="BFX2" t="e">
        <f ca="1">RiskValStatic(72522.86186)+_xll.RiskMean(Model!Q55,1)</f>
        <v>#NAME?</v>
      </c>
      <c r="BFY2">
        <f>Model!$R$58</f>
        <v>68072.819529999993</v>
      </c>
      <c r="BFZ2" t="e">
        <f ca="1">RiskValStatic(68072.81953)+_xll.RiskMean(Model!R55,1)</f>
        <v>#NAME?</v>
      </c>
      <c r="BGA2">
        <f>Model!$S$58</f>
        <v>67099.103000000003</v>
      </c>
      <c r="BGB2" t="e">
        <f ca="1">RiskValStatic(67099.103)+_xll.RiskMean(Model!S55,1)</f>
        <v>#NAME?</v>
      </c>
      <c r="BGC2">
        <f>Model!$T$58</f>
        <v>67798.956940000004</v>
      </c>
      <c r="BGD2" t="e">
        <f ca="1">RiskValStatic(67798.95694)+_xll.RiskMean(Model!T55,1)</f>
        <v>#NAME?</v>
      </c>
      <c r="BGE2">
        <f>Model!$U$58</f>
        <v>63892.994229999997</v>
      </c>
      <c r="BGF2" t="e">
        <f ca="1">RiskValStatic(63892.99423)+_xll.RiskMean(Model!U55,1)</f>
        <v>#NAME?</v>
      </c>
      <c r="BGG2">
        <f>Model!$V$58</f>
        <v>65202.687299999998</v>
      </c>
      <c r="BGH2" t="e">
        <f ca="1">RiskValStatic(65202.6873)+_xll.RiskMean(Model!V55,1)</f>
        <v>#NAME?</v>
      </c>
      <c r="BGI2">
        <f>Model!$W$58</f>
        <v>73184.087199999994</v>
      </c>
      <c r="BGJ2" t="e">
        <f ca="1">RiskValStatic(73184.0872)+_xll.RiskMean(Model!W55,1)</f>
        <v>#NAME?</v>
      </c>
      <c r="BGK2">
        <f>Model!$X$58</f>
        <v>69421.299750000006</v>
      </c>
      <c r="BGL2" t="e">
        <f ca="1">RiskValStatic(69421.29975)+_xll.RiskMean(Model!X55,1)</f>
        <v>#NAME?</v>
      </c>
      <c r="BGM2">
        <f>Model!$Y$58</f>
        <v>69930.149399999995</v>
      </c>
      <c r="BGN2" t="e">
        <f ca="1">RiskValStatic(69930.1494)+_xll.RiskMean(Model!Y55,1)</f>
        <v>#NAME?</v>
      </c>
      <c r="BGO2">
        <f>Model!$Z$58</f>
        <v>70251.187420000002</v>
      </c>
      <c r="BGP2" t="e">
        <f ca="1">RiskValStatic(70251.18742)+_xll.RiskMean(Model!Z55,1)</f>
        <v>#NAME?</v>
      </c>
      <c r="BGQ2">
        <f>Model!$AA$58</f>
        <v>65728.726980000007</v>
      </c>
      <c r="BGR2" t="e">
        <f ca="1">RiskValStatic(65728.72698)+_xll.RiskMean(Model!AA55,1)</f>
        <v>#NAME?</v>
      </c>
      <c r="BGS2">
        <f>Model!$AB$58</f>
        <v>76100.994189999998</v>
      </c>
      <c r="BGT2" t="e">
        <f ca="1">RiskValStatic(76100.99419)+_xll.RiskMean(Model!AB55,1)</f>
        <v>#NAME?</v>
      </c>
      <c r="BGU2">
        <f>Model!$AC$58</f>
        <v>67900.287700000001</v>
      </c>
      <c r="BGV2" t="e">
        <f ca="1">RiskValStatic(67900.2877)+_xll.RiskMean(Model!AC55,1)</f>
        <v>#NAME?</v>
      </c>
      <c r="BGW2">
        <f>Model!$AD$58</f>
        <v>68241.82948</v>
      </c>
      <c r="BGX2" t="e">
        <f ca="1">RiskValStatic(68241.82948)+_xll.RiskMean(Model!AD55,1)</f>
        <v>#NAME?</v>
      </c>
      <c r="BGY2">
        <f>Model!$AE$58</f>
        <v>208534.9516</v>
      </c>
      <c r="BGZ2" t="e">
        <f ca="1">RiskValStatic(208534.9516)+_xll.RiskMean(Model!AE55,1)</f>
        <v>#NAME?</v>
      </c>
      <c r="BHA2">
        <f>Model!$B$59</f>
        <v>1420703.308</v>
      </c>
      <c r="BHB2" t="e">
        <f ca="1">RiskValStatic(1420703.308)+_xll.RiskMean(Model!B56,1)</f>
        <v>#NAME?</v>
      </c>
      <c r="BHC2">
        <f>Model!$C$59</f>
        <v>1393370.6950000001</v>
      </c>
      <c r="BHD2" t="e">
        <f ca="1">RiskValStatic(1393370.695)+_xll.RiskMean(Model!C56,1)</f>
        <v>#NAME?</v>
      </c>
      <c r="BHE2">
        <f>Model!$D$59</f>
        <v>1365498.2819999999</v>
      </c>
      <c r="BHF2" t="e">
        <f ca="1">RiskValStatic(1365498.282)+_xll.RiskMean(Model!D56,1)</f>
        <v>#NAME?</v>
      </c>
      <c r="BHG2">
        <f>Model!$E$59</f>
        <v>1339023.04</v>
      </c>
      <c r="BHH2" t="e">
        <f ca="1">RiskValStatic(1339023.04)+_xll.RiskMean(Model!E56,1)</f>
        <v>#NAME?</v>
      </c>
      <c r="BHI2">
        <f>Model!$F$59</f>
        <v>1308347.0630000001</v>
      </c>
      <c r="BHJ2" t="e">
        <f ca="1">RiskValStatic(1308347.063)+_xll.RiskMean(Model!F56,1)</f>
        <v>#NAME?</v>
      </c>
      <c r="BHK2">
        <f>Model!$G$59</f>
        <v>1273753.1029999999</v>
      </c>
      <c r="BHL2" t="e">
        <f ca="1">RiskValStatic(1273753.103)+_xll.RiskMean(Model!G56,1)</f>
        <v>#NAME?</v>
      </c>
      <c r="BHM2">
        <f>Model!$H$59</f>
        <v>1242843.246</v>
      </c>
      <c r="BHN2" t="e">
        <f ca="1">RiskValStatic(1242843.246)+_xll.RiskMean(Model!H56,1)</f>
        <v>#NAME?</v>
      </c>
      <c r="BHO2">
        <f>Model!$I$59</f>
        <v>1209193.0090000001</v>
      </c>
      <c r="BHP2" t="e">
        <f ca="1">RiskValStatic(1209193.009)+_xll.RiskMean(Model!I56,1)</f>
        <v>#NAME?</v>
      </c>
      <c r="BHQ2">
        <f>Model!$J$59</f>
        <v>1177223.6669999999</v>
      </c>
      <c r="BHR2" t="e">
        <f ca="1">RiskValStatic(1177223.667)+_xll.RiskMean(Model!J56,1)</f>
        <v>#NAME?</v>
      </c>
      <c r="BHS2">
        <f>Model!$K$59</f>
        <v>1142513.753</v>
      </c>
      <c r="BHT2" t="e">
        <f ca="1">RiskValStatic(1142513.753)+_xll.RiskMean(Model!K56,1)</f>
        <v>#NAME?</v>
      </c>
      <c r="BHU2">
        <f>Model!$L$59</f>
        <v>1105140.814</v>
      </c>
      <c r="BHV2" t="e">
        <f ca="1">RiskValStatic(1105140.814)+_xll.RiskMean(Model!L56,1)</f>
        <v>#NAME?</v>
      </c>
      <c r="BHW2">
        <f>Model!$M$59</f>
        <v>1071353.905</v>
      </c>
      <c r="BHX2" t="e">
        <f ca="1">RiskValStatic(1071353.905)+_xll.RiskMean(Model!M56,1)</f>
        <v>#NAME?</v>
      </c>
      <c r="BHY2">
        <f>Model!$N$59</f>
        <v>1035139.559</v>
      </c>
      <c r="BHZ2" t="e">
        <f ca="1">RiskValStatic(1035139.559)+_xll.RiskMean(Model!N56,1)</f>
        <v>#NAME?</v>
      </c>
      <c r="BIA2">
        <f>Model!$O$59</f>
        <v>995393.26419999998</v>
      </c>
      <c r="BIB2" t="e">
        <f ca="1">RiskValStatic(995393.2642)+_xll.RiskMean(Model!O56,1)</f>
        <v>#NAME?</v>
      </c>
      <c r="BIC2">
        <f>Model!$P$59</f>
        <v>954209.89020000002</v>
      </c>
      <c r="BID2" t="e">
        <f ca="1">RiskValStatic(954209.8902)+_xll.RiskMean(Model!P56,1)</f>
        <v>#NAME?</v>
      </c>
      <c r="BIE2">
        <f>Model!$Q$59</f>
        <v>912179.42890000006</v>
      </c>
      <c r="BIF2" t="e">
        <f ca="1">RiskValStatic(912179.4289)+_xll.RiskMean(Model!Q56,1)</f>
        <v>#NAME?</v>
      </c>
      <c r="BIG2">
        <f>Model!$R$59</f>
        <v>867021.94990000001</v>
      </c>
      <c r="BIH2" t="e">
        <f ca="1">RiskValStatic(867021.9499)+_xll.RiskMean(Model!R56,1)</f>
        <v>#NAME?</v>
      </c>
      <c r="BII2">
        <f>Model!$S$59</f>
        <v>824959.78890000004</v>
      </c>
      <c r="BIJ2" t="e">
        <f ca="1">RiskValStatic(824959.7889)+_xll.RiskMean(Model!S56,1)</f>
        <v>#NAME?</v>
      </c>
      <c r="BIK2">
        <f>Model!$T$59</f>
        <v>782609.47959999996</v>
      </c>
      <c r="BIL2" t="e">
        <f ca="1">RiskValStatic(782609.4796)+_xll.RiskMean(Model!T56,1)</f>
        <v>#NAME?</v>
      </c>
      <c r="BIM2">
        <f>Model!$U$59</f>
        <v>738288.80700000003</v>
      </c>
      <c r="BIN2" t="e">
        <f ca="1">RiskValStatic(738288.807)+_xll.RiskMean(Model!U56,1)</f>
        <v>#NAME?</v>
      </c>
      <c r="BIO2">
        <f>Model!$V$59</f>
        <v>696544.47699999996</v>
      </c>
      <c r="BIP2" t="e">
        <f ca="1">RiskValStatic(696544.477)+_xll.RiskMean(Model!V56,1)</f>
        <v>#NAME?</v>
      </c>
      <c r="BIQ2">
        <f>Model!$W$59</f>
        <v>652238.12399999995</v>
      </c>
      <c r="BIR2" t="e">
        <f ca="1">RiskValStatic(652238.124)+_xll.RiskMean(Model!W56,1)</f>
        <v>#NAME?</v>
      </c>
      <c r="BIS2">
        <f>Model!$X$59</f>
        <v>598621.18050000002</v>
      </c>
      <c r="BIT2" t="e">
        <f ca="1">RiskValStatic(598621.1805)+_xll.RiskMean(Model!X56,1)</f>
        <v>#NAME?</v>
      </c>
      <c r="BIU2">
        <f>Model!$Y$59</f>
        <v>547158.51619999995</v>
      </c>
      <c r="BIV2" t="e">
        <f ca="1">RiskValStatic(547158.5162)+_xll.RiskMean(Model!Y56,1)</f>
        <v>#NAME?</v>
      </c>
      <c r="BIW2">
        <f>Model!$Z$59</f>
        <v>493643.12229999999</v>
      </c>
      <c r="BIX2" t="e">
        <f ca="1">RiskValStatic(493643.1223)+_xll.RiskMean(Model!Z56,1)</f>
        <v>#NAME?</v>
      </c>
      <c r="BIY2">
        <f>Model!$AA$59</f>
        <v>438201.22859999997</v>
      </c>
      <c r="BIZ2" t="e">
        <f ca="1">RiskValStatic(438201.2286)+_xll.RiskMean(Model!AA56,1)</f>
        <v>#NAME?</v>
      </c>
      <c r="BJA2">
        <f>Model!$AB$59</f>
        <v>385618.53840000002</v>
      </c>
      <c r="BJB2" t="e">
        <f ca="1">RiskValStatic(385618.5384)+_xll.RiskMean(Model!AB56,1)</f>
        <v>#NAME?</v>
      </c>
      <c r="BJC2">
        <f>Model!$AC$59</f>
        <v>321086.1004</v>
      </c>
      <c r="BJD2" t="e">
        <f ca="1">RiskValStatic(321086.1004)+_xll.RiskMean(Model!AC56,1)</f>
        <v>#NAME?</v>
      </c>
      <c r="BJE2">
        <f>Model!$AD$59</f>
        <v>262818.39569999999</v>
      </c>
      <c r="BJF2" t="e">
        <f ca="1">RiskValStatic(262818.3957)+_xll.RiskMean(Model!AD56,1)</f>
        <v>#NAME?</v>
      </c>
      <c r="BJG2">
        <f>Model!$AE$59</f>
        <v>202461.11809999999</v>
      </c>
      <c r="BJH2" t="e">
        <f ca="1">RiskValStatic(202461.1181)+_xll.RiskMean(Model!AE56,1)</f>
        <v>#NAME?</v>
      </c>
      <c r="BJI2">
        <f>Model!$B$61</f>
        <v>236365.87008500006</v>
      </c>
      <c r="BJJ2" t="e">
        <f ca="1">_xll.RiskOutput()+Model!B55</f>
        <v>#VALUE!</v>
      </c>
      <c r="BJK2">
        <f>Model!$C$61</f>
        <v>236365.87008500006</v>
      </c>
      <c r="BJL2" t="e">
        <f ca="1">_xll.RiskOutput()+Model!C55</f>
        <v>#VALUE!</v>
      </c>
      <c r="BJM2">
        <f>Model!$D$61</f>
        <v>236365.87008500006</v>
      </c>
      <c r="BJN2" t="e">
        <f ca="1">_xll.RiskOutput()+Model!D55</f>
        <v>#VALUE!</v>
      </c>
      <c r="BJO2">
        <f>Model!$E$61</f>
        <v>236365.87008500006</v>
      </c>
      <c r="BJP2" t="e">
        <f ca="1">_xll.RiskOutput()+Model!E55</f>
        <v>#VALUE!</v>
      </c>
      <c r="BJQ2">
        <f>Model!$F$61</f>
        <v>236365.87008500006</v>
      </c>
      <c r="BJR2" t="e">
        <f ca="1">_xll.RiskOutput()+Model!F55</f>
        <v>#VALUE!</v>
      </c>
      <c r="BJS2">
        <f>Model!$G$61</f>
        <v>236365.87008500006</v>
      </c>
      <c r="BJT2" t="e">
        <f ca="1">_xll.RiskOutput()+Model!G55</f>
        <v>#VALUE!</v>
      </c>
      <c r="BJU2">
        <f>Model!$H$61</f>
        <v>236365.87008500006</v>
      </c>
      <c r="BJV2" t="e">
        <f ca="1">_xll.RiskOutput()+Model!H55</f>
        <v>#VALUE!</v>
      </c>
      <c r="BJW2">
        <f>Model!$I$61</f>
        <v>236365.87008500006</v>
      </c>
      <c r="BJX2" t="e">
        <f ca="1">_xll.RiskOutput()+Model!I55</f>
        <v>#VALUE!</v>
      </c>
      <c r="BJY2">
        <f>Model!$J$61</f>
        <v>236365.87008500006</v>
      </c>
      <c r="BJZ2" t="e">
        <f ca="1">_xll.RiskOutput()+Model!J55</f>
        <v>#VALUE!</v>
      </c>
      <c r="BKA2">
        <f>Model!$K$61</f>
        <v>236365.87008500006</v>
      </c>
      <c r="BKB2" t="e">
        <f ca="1">_xll.RiskOutput()+Model!K55</f>
        <v>#VALUE!</v>
      </c>
      <c r="BKC2">
        <f>Model!$L$61</f>
        <v>236365.87008500006</v>
      </c>
      <c r="BKD2" t="e">
        <f ca="1">_xll.RiskOutput()+Model!L55</f>
        <v>#VALUE!</v>
      </c>
      <c r="BKE2">
        <f>Model!$M$61</f>
        <v>236365.87008500006</v>
      </c>
      <c r="BKF2" t="e">
        <f ca="1">_xll.RiskOutput()+Model!M55</f>
        <v>#VALUE!</v>
      </c>
      <c r="BKG2">
        <f>Model!$N$61</f>
        <v>236365.87008500006</v>
      </c>
      <c r="BKH2" t="e">
        <f ca="1">_xll.RiskOutput()+Model!N55</f>
        <v>#VALUE!</v>
      </c>
      <c r="BKI2">
        <f>Model!$O$61</f>
        <v>236365.87008500006</v>
      </c>
      <c r="BKJ2" t="e">
        <f ca="1">_xll.RiskOutput()+Model!O55</f>
        <v>#VALUE!</v>
      </c>
      <c r="BKK2">
        <f>Model!$P$61</f>
        <v>236365.87008500006</v>
      </c>
      <c r="BKL2" t="e">
        <f ca="1">_xll.RiskOutput()+Model!P55</f>
        <v>#VALUE!</v>
      </c>
      <c r="BKM2">
        <f>Model!$Q$61</f>
        <v>236365.87008500006</v>
      </c>
      <c r="BKN2" t="e">
        <f ca="1">_xll.RiskOutput()+Model!Q55</f>
        <v>#VALUE!</v>
      </c>
      <c r="BKO2">
        <f>Model!$R$61</f>
        <v>236365.87008500006</v>
      </c>
      <c r="BKP2" t="e">
        <f ca="1">_xll.RiskOutput()+Model!R55</f>
        <v>#VALUE!</v>
      </c>
      <c r="BKQ2">
        <f>Model!$S$61</f>
        <v>236365.87008500006</v>
      </c>
      <c r="BKR2" t="e">
        <f ca="1">_xll.RiskOutput()+Model!S55</f>
        <v>#VALUE!</v>
      </c>
      <c r="BKS2">
        <f>Model!$T$61</f>
        <v>236365.87008500006</v>
      </c>
      <c r="BKT2" t="e">
        <f ca="1">_xll.RiskOutput()+Model!T55</f>
        <v>#VALUE!</v>
      </c>
      <c r="BKU2">
        <f>Model!$U$61</f>
        <v>236365.87008500006</v>
      </c>
      <c r="BKV2" t="e">
        <f ca="1">_xll.RiskOutput()+Model!U55</f>
        <v>#VALUE!</v>
      </c>
      <c r="BKW2">
        <f>Model!$V$61</f>
        <v>236365.87008500006</v>
      </c>
      <c r="BKX2" t="e">
        <f ca="1">_xll.RiskOutput()+Model!V55</f>
        <v>#VALUE!</v>
      </c>
      <c r="BKY2">
        <f>Model!$W$61</f>
        <v>236365.87008500006</v>
      </c>
      <c r="BKZ2" t="e">
        <f ca="1">_xll.RiskOutput()+Model!W55</f>
        <v>#VALUE!</v>
      </c>
      <c r="BLA2">
        <f>Model!$X$61</f>
        <v>236365.87008500006</v>
      </c>
      <c r="BLB2" t="e">
        <f ca="1">_xll.RiskOutput()+Model!X55</f>
        <v>#VALUE!</v>
      </c>
      <c r="BLC2">
        <f>Model!$Y$61</f>
        <v>236365.87008500006</v>
      </c>
      <c r="BLD2" t="e">
        <f ca="1">_xll.RiskOutput()+Model!Y55</f>
        <v>#VALUE!</v>
      </c>
      <c r="BLE2">
        <f>Model!$Z$61</f>
        <v>236365.87008500006</v>
      </c>
      <c r="BLF2" t="e">
        <f ca="1">_xll.RiskOutput()+Model!Z55</f>
        <v>#VALUE!</v>
      </c>
      <c r="BLG2">
        <f>Model!$AA$61</f>
        <v>236365.87008500006</v>
      </c>
      <c r="BLH2" t="e">
        <f ca="1">_xll.RiskOutput()+Model!AA55</f>
        <v>#VALUE!</v>
      </c>
      <c r="BLI2">
        <f>Model!$AB$61</f>
        <v>236365.87008500006</v>
      </c>
      <c r="BLJ2" t="e">
        <f ca="1">_xll.RiskOutput()+Model!AB55</f>
        <v>#VALUE!</v>
      </c>
      <c r="BLK2">
        <f>Model!$AC$61</f>
        <v>236365.87008500006</v>
      </c>
      <c r="BLL2" t="e">
        <f ca="1">_xll.RiskOutput()+Model!AC55</f>
        <v>#VALUE!</v>
      </c>
      <c r="BLM2">
        <f>Model!$AD$61</f>
        <v>236365.87008500006</v>
      </c>
      <c r="BLN2" t="e">
        <f ca="1">_xll.RiskOutput()+Model!AD55</f>
        <v>#VALUE!</v>
      </c>
      <c r="BLO2">
        <f>Model!$AE$61</f>
        <v>236365.87008500006</v>
      </c>
      <c r="BLP2" t="e">
        <f ca="1">_xll.RiskOutput()+Model!AE55</f>
        <v>#VALUE!</v>
      </c>
      <c r="BLQ2">
        <f>Model!$B$62</f>
        <v>3192488.3369999998</v>
      </c>
      <c r="BLR2" t="e">
        <f ca="1">RiskValStatic(3192488.337)+_xll.RiskMean(Model!B56,2)</f>
        <v>#NAME?</v>
      </c>
      <c r="BLS2">
        <f>Model!$C$62</f>
        <v>3218309.2749999999</v>
      </c>
      <c r="BLT2" t="e">
        <f ca="1">RiskValStatic(3218309.275)+_xll.RiskMean(Model!C56,2)</f>
        <v>#NAME?</v>
      </c>
      <c r="BLU2">
        <f>Model!$D$62</f>
        <v>3238296.6269999999</v>
      </c>
      <c r="BLV2" t="e">
        <f ca="1">RiskValStatic(3238296.627)+_xll.RiskMean(Model!D56,2)</f>
        <v>#NAME?</v>
      </c>
      <c r="BLW2">
        <f>Model!$E$62</f>
        <v>3250918.355</v>
      </c>
      <c r="BLX2" t="e">
        <f ca="1">RiskValStatic(3250918.355)+_xll.RiskMean(Model!E56,2)</f>
        <v>#NAME?</v>
      </c>
      <c r="BLY2">
        <f>Model!$F$62</f>
        <v>3253754.9750000001</v>
      </c>
      <c r="BLZ2" t="e">
        <f ca="1">RiskValStatic(3253754.975)+_xll.RiskMean(Model!F56,2)</f>
        <v>#NAME?</v>
      </c>
      <c r="BMA2">
        <f>Model!$G$62</f>
        <v>3247236.6430000002</v>
      </c>
      <c r="BMB2" t="e">
        <f ca="1">RiskValStatic(3247236.643)+_xll.RiskMean(Model!G56,2)</f>
        <v>#NAME?</v>
      </c>
      <c r="BMC2">
        <f>Model!$H$62</f>
        <v>3237022.3149999999</v>
      </c>
      <c r="BMD2" t="e">
        <f ca="1">RiskValStatic(3237022.315)+_xll.RiskMean(Model!H56,2)</f>
        <v>#NAME?</v>
      </c>
      <c r="BME2">
        <f>Model!$I$62</f>
        <v>3218872.023</v>
      </c>
      <c r="BMF2" t="e">
        <f ca="1">RiskValStatic(3218872.023)+_xll.RiskMean(Model!I56,2)</f>
        <v>#NAME?</v>
      </c>
      <c r="BMG2">
        <f>Model!$J$62</f>
        <v>3194860.7259999998</v>
      </c>
      <c r="BMH2" t="e">
        <f ca="1">RiskValStatic(3194860.726)+_xll.RiskMean(Model!J56,2)</f>
        <v>#NAME?</v>
      </c>
      <c r="BMI2">
        <f>Model!$K$62</f>
        <v>3160029.0860000001</v>
      </c>
      <c r="BMJ2" t="e">
        <f ca="1">RiskValStatic(3160029.086)+_xll.RiskMean(Model!K56,2)</f>
        <v>#NAME?</v>
      </c>
      <c r="BMK2">
        <f>Model!$L$62</f>
        <v>3115568.0580000002</v>
      </c>
      <c r="BML2" t="e">
        <f ca="1">RiskValStatic(3115568.058)+_xll.RiskMean(Model!L56,2)</f>
        <v>#NAME?</v>
      </c>
      <c r="BMM2">
        <f>Model!$M$62</f>
        <v>3065265.7459999998</v>
      </c>
      <c r="BMN2" t="e">
        <f ca="1">RiskValStatic(3065265.746)+_xll.RiskMean(Model!M56,2)</f>
        <v>#NAME?</v>
      </c>
      <c r="BMO2">
        <f>Model!$N$62</f>
        <v>3004794.38</v>
      </c>
      <c r="BMP2" t="e">
        <f ca="1">RiskValStatic(3004794.38)+_xll.RiskMean(Model!N56,2)</f>
        <v>#NAME?</v>
      </c>
      <c r="BMQ2">
        <f>Model!$O$62</f>
        <v>2934526.5580000002</v>
      </c>
      <c r="BMR2" t="e">
        <f ca="1">RiskValStatic(2934526.558)+_xll.RiskMean(Model!O56,2)</f>
        <v>#NAME?</v>
      </c>
      <c r="BMS2">
        <f>Model!$P$62</f>
        <v>2855075.253</v>
      </c>
      <c r="BMT2" t="e">
        <f ca="1">RiskValStatic(2855075.253)+_xll.RiskMean(Model!P56,2)</f>
        <v>#NAME?</v>
      </c>
      <c r="BMU2">
        <f>Model!$Q$62</f>
        <v>2767796.7629999998</v>
      </c>
      <c r="BMV2" t="e">
        <f ca="1">RiskValStatic(2767796.763)+_xll.RiskMean(Model!Q56,2)</f>
        <v>#NAME?</v>
      </c>
      <c r="BMW2">
        <f>Model!$R$62</f>
        <v>2621525.3470000001</v>
      </c>
      <c r="BMX2" t="e">
        <f ca="1">RiskValStatic(2621525.347)+_xll.RiskMean(Model!R56,2)</f>
        <v>#NAME?</v>
      </c>
      <c r="BMY2">
        <f>Model!$S$62</f>
        <v>2470002.7200000002</v>
      </c>
      <c r="BMZ2" t="e">
        <f ca="1">RiskValStatic(2470002.72)+_xll.RiskMean(Model!S56,2)</f>
        <v>#NAME?</v>
      </c>
      <c r="BNA2">
        <f>Model!$T$62</f>
        <v>2315077.3939999999</v>
      </c>
      <c r="BNB2" t="e">
        <f ca="1">RiskValStatic(2315077.394)+_xll.RiskMean(Model!T56,2)</f>
        <v>#NAME?</v>
      </c>
      <c r="BNC2">
        <f>Model!$U$62</f>
        <v>2152658.531</v>
      </c>
      <c r="BND2" t="e">
        <f ca="1">RiskValStatic(2152658.531)+_xll.RiskMean(Model!U56,2)</f>
        <v>#NAME?</v>
      </c>
      <c r="BNE2">
        <f>Model!$V$62</f>
        <v>1984343.4709999999</v>
      </c>
      <c r="BNF2" t="e">
        <f ca="1">RiskValStatic(1984343.471)+_xll.RiskMean(Model!V56,2)</f>
        <v>#NAME?</v>
      </c>
      <c r="BNG2">
        <f>Model!$W$62</f>
        <v>1811847.148</v>
      </c>
      <c r="BNH2" t="e">
        <f ca="1">RiskValStatic(1811847.148)+_xll.RiskMean(Model!W56,2)</f>
        <v>#NAME?</v>
      </c>
      <c r="BNI2">
        <f>Model!$X$62</f>
        <v>1632812.902</v>
      </c>
      <c r="BNJ2" t="e">
        <f ca="1">RiskValStatic(1632812.902)+_xll.RiskMean(Model!X56,2)</f>
        <v>#NAME?</v>
      </c>
      <c r="BNK2">
        <f>Model!$Y$62</f>
        <v>1449319.733</v>
      </c>
      <c r="BNL2" t="e">
        <f ca="1">RiskValStatic(1449319.733)+_xll.RiskMean(Model!Y56,2)</f>
        <v>#NAME?</v>
      </c>
      <c r="BNM2">
        <f>Model!$Z$62</f>
        <v>1258530.28</v>
      </c>
      <c r="BNN2" t="e">
        <f ca="1">RiskValStatic(1258530.28)+_xll.RiskMean(Model!Z56,2)</f>
        <v>#NAME?</v>
      </c>
      <c r="BNO2">
        <f>Model!$AA$62</f>
        <v>1064788.0330000001</v>
      </c>
      <c r="BNP2" t="e">
        <f ca="1">RiskValStatic(1064788.033)+_xll.RiskMean(Model!AA56,2)</f>
        <v>#NAME?</v>
      </c>
      <c r="BNQ2">
        <f>Model!$AB$62</f>
        <v>864824.73880000005</v>
      </c>
      <c r="BNR2" t="e">
        <f ca="1">RiskValStatic(864824.7388)+_xll.RiskMean(Model!AB56,2)</f>
        <v>#NAME?</v>
      </c>
      <c r="BNS2">
        <f>Model!$AC$62</f>
        <v>658508.522</v>
      </c>
      <c r="BNT2" t="e">
        <f ca="1">RiskValStatic(658508.522)+_xll.RiskMean(Model!AC56,2)</f>
        <v>#NAME?</v>
      </c>
      <c r="BNU2">
        <f>Model!$AD$62</f>
        <v>445349.98249999998</v>
      </c>
      <c r="BNV2" t="e">
        <f ca="1">RiskValStatic(445349.9825)+_xll.RiskMean(Model!AD56,2)</f>
        <v>#NAME?</v>
      </c>
      <c r="BNW2">
        <f>Model!$AE$62</f>
        <v>225974.63070000001</v>
      </c>
      <c r="BNX2" t="e">
        <f ca="1">RiskValStatic(225974.6307)+_xll.RiskMean(Model!AE56,2)</f>
        <v>#NAME?</v>
      </c>
      <c r="BNY2">
        <f>Model!$B$64</f>
        <v>69953.712580000007</v>
      </c>
      <c r="BNZ2" t="e">
        <f ca="1">RiskValStatic(69953.71258)+_xll.RiskMean(Model!B55,3)</f>
        <v>#NAME?</v>
      </c>
      <c r="BOA2">
        <f>Model!$C$64</f>
        <v>75007.261280000006</v>
      </c>
      <c r="BOB2" t="e">
        <f ca="1">RiskValStatic(75007.26128)+_xll.RiskMean(Model!C55,3)</f>
        <v>#NAME?</v>
      </c>
      <c r="BOC2">
        <f>Model!$D$64</f>
        <v>80578.317429999996</v>
      </c>
      <c r="BOD2" t="e">
        <f ca="1">RiskValStatic(80578.31743)+_xll.RiskMean(Model!D55,3)</f>
        <v>#NAME?</v>
      </c>
      <c r="BOE2">
        <f>Model!$E$64</f>
        <v>88330.578049999996</v>
      </c>
      <c r="BOF2" t="e">
        <f ca="1">RiskValStatic(88330.57805)+_xll.RiskMean(Model!E55,3)</f>
        <v>#NAME?</v>
      </c>
      <c r="BOG2">
        <f>Model!$F$64</f>
        <v>96166.905369999993</v>
      </c>
      <c r="BOH2" t="e">
        <f ca="1">RiskValStatic(96166.90537)+_xll.RiskMean(Model!F55,3)</f>
        <v>#NAME?</v>
      </c>
      <c r="BOI2">
        <f>Model!$G$64</f>
        <v>97595.964099999997</v>
      </c>
      <c r="BOJ2" t="e">
        <f ca="1">RiskValStatic(97595.9641)+_xll.RiskMean(Model!G55,3)</f>
        <v>#NAME?</v>
      </c>
      <c r="BOK2">
        <f>Model!$H$64</f>
        <v>103840.7914</v>
      </c>
      <c r="BOL2" t="e">
        <f ca="1">RiskValStatic(103840.7914)+_xll.RiskMean(Model!H55,3)</f>
        <v>#NAME?</v>
      </c>
      <c r="BOM2">
        <f>Model!$I$64</f>
        <v>107776.231</v>
      </c>
      <c r="BON2" t="e">
        <f ca="1">RiskValStatic(107776.231)+_xll.RiskMean(Model!I55,3)</f>
        <v>#NAME?</v>
      </c>
      <c r="BOO2">
        <f>Model!$J$64</f>
        <v>115563.9038</v>
      </c>
      <c r="BOP2" t="e">
        <f ca="1">RiskValStatic(115563.9038)+_xll.RiskMean(Model!J55,3)</f>
        <v>#NAME?</v>
      </c>
      <c r="BOQ2">
        <f>Model!$K$64</f>
        <v>120375.5153</v>
      </c>
      <c r="BOR2" t="e">
        <f ca="1">RiskValStatic(120375.5153)+_xll.RiskMean(Model!K55,3)</f>
        <v>#NAME?</v>
      </c>
      <c r="BOS2">
        <f>Model!$L$64</f>
        <v>123453.29369999999</v>
      </c>
      <c r="BOT2" t="e">
        <f ca="1">RiskValStatic(123453.2937)+_xll.RiskMean(Model!L55,3)</f>
        <v>#NAME?</v>
      </c>
      <c r="BOU2">
        <f>Model!$M$64</f>
        <v>128744.9093</v>
      </c>
      <c r="BOV2" t="e">
        <f ca="1">RiskValStatic(128744.9093)+_xll.RiskMean(Model!M55,3)</f>
        <v>#NAME?</v>
      </c>
      <c r="BOW2">
        <f>Model!$N$64</f>
        <v>136569.6691</v>
      </c>
      <c r="BOX2" t="e">
        <f ca="1">RiskValStatic(136569.6691)+_xll.RiskMean(Model!N55,3)</f>
        <v>#NAME?</v>
      </c>
      <c r="BOY2">
        <f>Model!$O$64</f>
        <v>143091.6366</v>
      </c>
      <c r="BOZ2" t="e">
        <f ca="1">RiskValStatic(143091.6366)+_xll.RiskMean(Model!O55,3)</f>
        <v>#NAME?</v>
      </c>
      <c r="BPA2">
        <f>Model!$P$64</f>
        <v>147817.52480000001</v>
      </c>
      <c r="BPB2" t="e">
        <f ca="1">RiskValStatic(147817.5248)+_xll.RiskMean(Model!P55,3)</f>
        <v>#NAME?</v>
      </c>
      <c r="BPC2">
        <f>Model!$Q$64</f>
        <v>154924.1924</v>
      </c>
      <c r="BPD2" t="e">
        <f ca="1">RiskValStatic(154924.1924)+_xll.RiskMean(Model!Q55,3)</f>
        <v>#NAME?</v>
      </c>
      <c r="BPE2">
        <f>Model!$R$64</f>
        <v>158197.902</v>
      </c>
      <c r="BPF2" t="e">
        <f ca="1">RiskValStatic(158197.902)+_xll.RiskMean(Model!R55,3)</f>
        <v>#NAME?</v>
      </c>
      <c r="BPG2">
        <f>Model!$S$64</f>
        <v>160401.6189</v>
      </c>
      <c r="BPH2" t="e">
        <f ca="1">RiskValStatic(160401.6189)+_xll.RiskMean(Model!S55,3)</f>
        <v>#NAME?</v>
      </c>
      <c r="BPI2">
        <f>Model!$T$64</f>
        <v>169134.93359999999</v>
      </c>
      <c r="BPJ2" t="e">
        <f ca="1">RiskValStatic(169134.9336)+_xll.RiskMean(Model!T55,3)</f>
        <v>#NAME?</v>
      </c>
      <c r="BPK2">
        <f>Model!$U$64</f>
        <v>174843.22659999999</v>
      </c>
      <c r="BPL2" t="e">
        <f ca="1">RiskValStatic(174843.2266)+_xll.RiskMean(Model!U55,3)</f>
        <v>#NAME?</v>
      </c>
      <c r="BPM2">
        <f>Model!$V$64</f>
        <v>226230.272</v>
      </c>
      <c r="BPN2" t="e">
        <f ca="1">RiskValStatic(226230.272)+_xll.RiskMean(Model!V55,3)</f>
        <v>#NAME?</v>
      </c>
      <c r="BPO2">
        <f>Model!$W$64</f>
        <v>229281.42559999999</v>
      </c>
      <c r="BPP2" t="e">
        <f ca="1">RiskValStatic(229281.4256)+_xll.RiskMean(Model!W55,3)</f>
        <v>#NAME?</v>
      </c>
      <c r="BPQ2">
        <f>Model!$X$64</f>
        <v>229563.58379999999</v>
      </c>
      <c r="BPR2" t="e">
        <f ca="1">RiskValStatic(229563.5838)+_xll.RiskMean(Model!X55,3)</f>
        <v>#NAME?</v>
      </c>
      <c r="BPS2">
        <f>Model!$Y$64</f>
        <v>231378.5091</v>
      </c>
      <c r="BPT2" t="e">
        <f ca="1">RiskValStatic(231378.5091)+_xll.RiskMean(Model!Y55,3)</f>
        <v>#NAME?</v>
      </c>
      <c r="BPU2">
        <f>Model!$Z$64</f>
        <v>230770.3573</v>
      </c>
      <c r="BPV2" t="e">
        <f ca="1">RiskValStatic(230770.3573)+_xll.RiskMean(Model!Z55,3)</f>
        <v>#NAME?</v>
      </c>
      <c r="BPW2">
        <f>Model!$AA$64</f>
        <v>231906.93520000001</v>
      </c>
      <c r="BPX2" t="e">
        <f ca="1">RiskValStatic(231906.9352)+_xll.RiskMean(Model!AA55,3)</f>
        <v>#NAME?</v>
      </c>
      <c r="BPY2">
        <f>Model!$AB$64</f>
        <v>232260.9589</v>
      </c>
      <c r="BPZ2" t="e">
        <f ca="1">RiskValStatic(232260.9589)+_xll.RiskMean(Model!AB55,3)</f>
        <v>#NAME?</v>
      </c>
      <c r="BQA2">
        <f>Model!$AC$64</f>
        <v>232913.79519999999</v>
      </c>
      <c r="BQB2" t="e">
        <f ca="1">RiskValStatic(232913.7952)+_xll.RiskMean(Model!AC55,3)</f>
        <v>#NAME?</v>
      </c>
      <c r="BQC2">
        <f>Model!$AD$64</f>
        <v>232735.85130000001</v>
      </c>
      <c r="BQD2" t="e">
        <f ca="1">RiskValStatic(232735.8513)+_xll.RiskMean(Model!AD55,3)</f>
        <v>#NAME?</v>
      </c>
      <c r="BQE2">
        <f>Model!$AE$64</f>
        <v>232753.86960000001</v>
      </c>
      <c r="BQF2" t="e">
        <f ca="1">RiskValStatic(232753.8696)+_xll.RiskMean(Model!AE55,3)</f>
        <v>#NAME?</v>
      </c>
      <c r="BQG2">
        <f>Model!$B$65</f>
        <v>2835055.0809999998</v>
      </c>
      <c r="BQH2" t="e">
        <f ca="1">RiskValStatic(2835055.081)+_xll.RiskMean(Model!B56,3)</f>
        <v>#NAME?</v>
      </c>
      <c r="BQI2">
        <f>Model!$C$65</f>
        <v>2850153.0210000002</v>
      </c>
      <c r="BQJ2" t="e">
        <f ca="1">RiskValStatic(2850153.021)+_xll.RiskMean(Model!C56,3)</f>
        <v>#NAME?</v>
      </c>
      <c r="BQK2">
        <f>Model!$D$65</f>
        <v>2860650.35</v>
      </c>
      <c r="BQL2" t="e">
        <f ca="1">RiskValStatic(2860650.35)+_xll.RiskMean(Model!D56,3)</f>
        <v>#NAME?</v>
      </c>
      <c r="BQM2">
        <f>Model!$E$65</f>
        <v>2865891.5430000001</v>
      </c>
      <c r="BQN2" t="e">
        <f ca="1">RiskValStatic(2865891.543)+_xll.RiskMean(Model!E56,3)</f>
        <v>#NAME?</v>
      </c>
      <c r="BQO2">
        <f>Model!$F$65</f>
        <v>2863537.7119999998</v>
      </c>
      <c r="BQP2" t="e">
        <f ca="1">RiskValStatic(2863537.712)+_xll.RiskMean(Model!F56,3)</f>
        <v>#NAME?</v>
      </c>
      <c r="BQQ2">
        <f>Model!$G$65</f>
        <v>2853276.9380000001</v>
      </c>
      <c r="BQR2" t="e">
        <f ca="1">RiskValStatic(2853276.938)+_xll.RiskMean(Model!G56,3)</f>
        <v>#NAME?</v>
      </c>
      <c r="BQS2">
        <f>Model!$H$65</f>
        <v>2841279.2820000001</v>
      </c>
      <c r="BQT2" t="e">
        <f ca="1">RiskValStatic(2841279.282)+_xll.RiskMean(Model!H56,3)</f>
        <v>#NAME?</v>
      </c>
      <c r="BQU2">
        <f>Model!$I$65</f>
        <v>2822676.8689999999</v>
      </c>
      <c r="BQV2" t="e">
        <f ca="1">RiskValStatic(2822676.869)+_xll.RiskMean(Model!I56,3)</f>
        <v>#NAME?</v>
      </c>
      <c r="BQW2">
        <f>Model!$J$65</f>
        <v>2799580.9440000001</v>
      </c>
      <c r="BQX2" t="e">
        <f ca="1">RiskValStatic(2799580.944)+_xll.RiskMean(Model!J56,3)</f>
        <v>#NAME?</v>
      </c>
      <c r="BQY2">
        <f>Model!$K$65</f>
        <v>2768004.4679999999</v>
      </c>
      <c r="BQZ2" t="e">
        <f ca="1">RiskValStatic(2768004.468)+_xll.RiskMean(Model!K56,3)</f>
        <v>#NAME?</v>
      </c>
      <c r="BRA2">
        <f>Model!$L$65</f>
        <v>2730669.0869999998</v>
      </c>
      <c r="BRB2" t="e">
        <f ca="1">RiskValStatic(2730669.087)+_xll.RiskMean(Model!L56,3)</f>
        <v>#NAME?</v>
      </c>
      <c r="BRC2">
        <f>Model!$M$65</f>
        <v>2689135.8659999999</v>
      </c>
      <c r="BRD2" t="e">
        <f ca="1">RiskValStatic(2689135.866)+_xll.RiskMean(Model!M56,3)</f>
        <v>#NAME?</v>
      </c>
      <c r="BRE2">
        <f>Model!$N$65</f>
        <v>2641065.0329999998</v>
      </c>
      <c r="BRF2" t="e">
        <f ca="1">RiskValStatic(2641065.033)+_xll.RiskMean(Model!N56,3)</f>
        <v>#NAME?</v>
      </c>
      <c r="BRG2">
        <f>Model!$O$65</f>
        <v>2583727.3149999999</v>
      </c>
      <c r="BRH2" t="e">
        <f ca="1">RiskValStatic(2583727.315)+_xll.RiskMean(Model!O56,3)</f>
        <v>#NAME?</v>
      </c>
      <c r="BRI2">
        <f>Model!$P$65</f>
        <v>2518147.497</v>
      </c>
      <c r="BRJ2" t="e">
        <f ca="1">RiskValStatic(2518147.497)+_xll.RiskMean(Model!P56,3)</f>
        <v>#NAME?</v>
      </c>
      <c r="BRK2">
        <f>Model!$Q$65</f>
        <v>2445874.398</v>
      </c>
      <c r="BRL2" t="e">
        <f ca="1">RiskValStatic(2445874.398)+_xll.RiskMean(Model!Q56,3)</f>
        <v>#NAME?</v>
      </c>
      <c r="BRM2">
        <f>Model!$R$65</f>
        <v>2364326.4369999999</v>
      </c>
      <c r="BRN2" t="e">
        <f ca="1">RiskValStatic(2364326.437)+_xll.RiskMean(Model!R56,3)</f>
        <v>#NAME?</v>
      </c>
      <c r="BRO2">
        <f>Model!$S$65</f>
        <v>2277058.3280000002</v>
      </c>
      <c r="BRP2" t="e">
        <f ca="1">RiskValStatic(2277058.328)+_xll.RiskMean(Model!S56,3)</f>
        <v>#NAME?</v>
      </c>
      <c r="BRQ2">
        <f>Model!$T$65</f>
        <v>2184968.4589999998</v>
      </c>
      <c r="BRR2" t="e">
        <f ca="1">RiskValStatic(2184968.459)+_xll.RiskMean(Model!T56,3)</f>
        <v>#NAME?</v>
      </c>
      <c r="BRS2">
        <f>Model!$U$65</f>
        <v>2081382.5789999999</v>
      </c>
      <c r="BRT2" t="e">
        <f ca="1">RiskValStatic(2081382.579)+_xll.RiskMean(Model!U56,3)</f>
        <v>#NAME?</v>
      </c>
      <c r="BRU2">
        <f>Model!$V$65</f>
        <v>1968980.83</v>
      </c>
      <c r="BRV2" t="e">
        <f ca="1">RiskValStatic(1968980.83)+_xll.RiskMean(Model!V56,3)</f>
        <v>#NAME?</v>
      </c>
      <c r="BRW2">
        <f>Model!$W$65</f>
        <v>1801819.983</v>
      </c>
      <c r="BRX2" t="e">
        <f ca="1">RiskValStatic(1801819.983)+_xll.RiskMean(Model!W56,3)</f>
        <v>#NAME?</v>
      </c>
      <c r="BRY2">
        <f>Model!$X$65</f>
        <v>1626593.1569999999</v>
      </c>
      <c r="BRZ2" t="e">
        <f ca="1">RiskValStatic(1626593.157)+_xll.RiskMean(Model!X56,3)</f>
        <v>#NAME?</v>
      </c>
      <c r="BSA2">
        <f>Model!$Y$65</f>
        <v>1445827.368</v>
      </c>
      <c r="BSB2" t="e">
        <f ca="1">RiskValStatic(1445827.368)+_xll.RiskMean(Model!Y56,3)</f>
        <v>#NAME?</v>
      </c>
      <c r="BSC2">
        <f>Model!$Z$65</f>
        <v>1257823.68</v>
      </c>
      <c r="BSD2" t="e">
        <f ca="1">RiskValStatic(1257823.68)+_xll.RiskMean(Model!Z56,3)</f>
        <v>#NAME?</v>
      </c>
      <c r="BSE2">
        <f>Model!$AA$65</f>
        <v>1064788.0330000001</v>
      </c>
      <c r="BSF2" t="e">
        <f ca="1">RiskValStatic(1064788.033)+_xll.RiskMean(Model!AA56,3)</f>
        <v>#NAME?</v>
      </c>
      <c r="BSG2">
        <f>Model!$AB$65</f>
        <v>864824.73880000005</v>
      </c>
      <c r="BSH2" t="e">
        <f ca="1">RiskValStatic(864824.7388)+_xll.RiskMean(Model!AB56,3)</f>
        <v>#NAME?</v>
      </c>
      <c r="BSI2">
        <f>Model!$AC$65</f>
        <v>658508.522</v>
      </c>
      <c r="BSJ2" t="e">
        <f ca="1">RiskValStatic(658508.522)+_xll.RiskMean(Model!AC56,3)</f>
        <v>#NAME?</v>
      </c>
      <c r="BSK2">
        <f>Model!$AD$65</f>
        <v>445349.98249999998</v>
      </c>
      <c r="BSL2" t="e">
        <f ca="1">RiskValStatic(445349.9825)+_xll.RiskMean(Model!AD56,3)</f>
        <v>#NAME?</v>
      </c>
      <c r="BSM2">
        <f>Model!$AE$65</f>
        <v>225974.63070000001</v>
      </c>
      <c r="BSN2" t="e">
        <f ca="1">RiskValStatic(225974.6307)+_xll.RiskMean(Model!AE56,3)</f>
        <v>#NAME?</v>
      </c>
      <c r="BSO2">
        <f>Model!$B$69</f>
        <v>154491.8467844</v>
      </c>
      <c r="BSP2" s="79" t="e">
        <f ca="1">_xll.RiskOutput("SW Net")+Model!B21-Model!B19+Model!B68</f>
        <v>#VALUE!</v>
      </c>
      <c r="BSQ2">
        <f>Model!$C$69</f>
        <v>154491.8467844</v>
      </c>
      <c r="BSR2" s="79" t="e">
        <f ca="1">_xll.RiskOutput("SW Net")+Model!C21-Model!C19+Model!C68</f>
        <v>#VALUE!</v>
      </c>
      <c r="BSS2">
        <f>Model!$D$69</f>
        <v>154491.8467844</v>
      </c>
      <c r="BST2" s="79" t="e">
        <f ca="1">_xll.RiskOutput("SW Net")+Model!D21-Model!D19+Model!D68</f>
        <v>#VALUE!</v>
      </c>
      <c r="BSU2">
        <f>Model!$E$69</f>
        <v>154491.8467844</v>
      </c>
      <c r="BSV2" s="79" t="e">
        <f ca="1">_xll.RiskOutput("SW Net")+Model!E21-Model!E19+Model!E68</f>
        <v>#VALUE!</v>
      </c>
      <c r="BSW2">
        <f>Model!$F$69</f>
        <v>154491.8467844</v>
      </c>
      <c r="BSX2" s="79" t="e">
        <f ca="1">_xll.RiskOutput("SW Net")+Model!F21-Model!F19+Model!F68</f>
        <v>#VALUE!</v>
      </c>
      <c r="BSY2">
        <f>Model!$G$69</f>
        <v>154491.8467844</v>
      </c>
      <c r="BSZ2" s="79" t="e">
        <f ca="1">_xll.RiskOutput("SW Net")+Model!G21-Model!G19+Model!G68</f>
        <v>#VALUE!</v>
      </c>
      <c r="BTA2">
        <f>Model!$H$69</f>
        <v>154491.8467844</v>
      </c>
      <c r="BTB2" s="79" t="e">
        <f ca="1">_xll.RiskOutput("SW Net")+Model!H21-Model!H19+Model!H68</f>
        <v>#VALUE!</v>
      </c>
      <c r="BTC2">
        <f>Model!$I$69</f>
        <v>154491.8467844</v>
      </c>
      <c r="BTD2" s="79" t="e">
        <f ca="1">_xll.RiskOutput("SW Net")+Model!I21-Model!I19+Model!I68</f>
        <v>#VALUE!</v>
      </c>
      <c r="BTE2">
        <f>Model!$J$69</f>
        <v>154491.8467844</v>
      </c>
      <c r="BTF2" s="79" t="e">
        <f ca="1">_xll.RiskOutput("SW Net")+Model!J21-Model!J19+Model!J68</f>
        <v>#VALUE!</v>
      </c>
      <c r="BTG2">
        <f>Model!$K$69</f>
        <v>154491.8467844</v>
      </c>
      <c r="BTH2" s="79" t="e">
        <f ca="1">_xll.RiskOutput("SW Net")+Model!K21-Model!K19+Model!K68</f>
        <v>#VALUE!</v>
      </c>
      <c r="BTI2">
        <f>Model!$L$69</f>
        <v>154491.8467844</v>
      </c>
      <c r="BTJ2" s="79" t="e">
        <f ca="1">_xll.RiskOutput("SW Net")+Model!L21-Model!L19+Model!L68</f>
        <v>#VALUE!</v>
      </c>
      <c r="BTK2">
        <f>Model!$M$69</f>
        <v>154491.8467844</v>
      </c>
      <c r="BTL2" s="79" t="e">
        <f ca="1">_xll.RiskOutput("SW Net")+Model!M21-Model!M19+Model!M68</f>
        <v>#VALUE!</v>
      </c>
      <c r="BTM2">
        <f>Model!$N$69</f>
        <v>154491.8467844</v>
      </c>
      <c r="BTN2" s="79" t="e">
        <f ca="1">_xll.RiskOutput("SW Net")+Model!N21-Model!N19+Model!N68</f>
        <v>#VALUE!</v>
      </c>
      <c r="BTO2">
        <f>Model!$O$69</f>
        <v>154491.8467844</v>
      </c>
      <c r="BTP2" s="79" t="e">
        <f ca="1">_xll.RiskOutput("SW Net")+Model!O21-Model!O19+Model!O68</f>
        <v>#VALUE!</v>
      </c>
      <c r="BTQ2">
        <f>Model!$P$69</f>
        <v>154491.8467844</v>
      </c>
      <c r="BTR2" s="79" t="e">
        <f ca="1">_xll.RiskOutput("SW Net")+Model!P21-Model!P19+Model!P68</f>
        <v>#VALUE!</v>
      </c>
      <c r="BTS2">
        <f>Model!$Q$69</f>
        <v>154491.8467844</v>
      </c>
      <c r="BTT2" s="79" t="e">
        <f ca="1">_xll.RiskOutput("SW Net")+Model!Q21-Model!Q19+Model!Q68</f>
        <v>#VALUE!</v>
      </c>
      <c r="BTU2">
        <f>Model!$R$69</f>
        <v>154491.8467844</v>
      </c>
      <c r="BTV2" s="79" t="e">
        <f ca="1">_xll.RiskOutput("SW Net")+Model!R21-Model!R19+Model!R68</f>
        <v>#VALUE!</v>
      </c>
      <c r="BTW2">
        <f>Model!$S$69</f>
        <v>154491.8467844</v>
      </c>
      <c r="BTX2" s="79" t="e">
        <f ca="1">_xll.RiskOutput("SW Net")+Model!S21-Model!S19+Model!S68</f>
        <v>#VALUE!</v>
      </c>
      <c r="BTY2">
        <f>Model!$T$69</f>
        <v>154491.8467844</v>
      </c>
      <c r="BTZ2" s="79" t="e">
        <f ca="1">_xll.RiskOutput("SW Net")+Model!T21-Model!T19+Model!T68</f>
        <v>#VALUE!</v>
      </c>
      <c r="BUA2">
        <f>Model!$U$69</f>
        <v>154491.8467844</v>
      </c>
      <c r="BUB2" s="79" t="e">
        <f ca="1">_xll.RiskOutput("SW Net")+Model!U21-Model!U19+Model!U68</f>
        <v>#VALUE!</v>
      </c>
      <c r="BUC2">
        <f>Model!$V$69</f>
        <v>154491.8467844</v>
      </c>
      <c r="BUD2" s="79" t="e">
        <f ca="1">_xll.RiskOutput("SW Net")+Model!V21-Model!V19+Model!V68</f>
        <v>#VALUE!</v>
      </c>
      <c r="BUE2">
        <f>Model!$W$69</f>
        <v>154491.8467844</v>
      </c>
      <c r="BUF2" s="79" t="e">
        <f ca="1">_xll.RiskOutput("SW Net")+Model!W21-Model!W19+Model!W68</f>
        <v>#VALUE!</v>
      </c>
      <c r="BUG2">
        <f>Model!$X$69</f>
        <v>154491.8467844</v>
      </c>
      <c r="BUH2" s="79" t="e">
        <f ca="1">_xll.RiskOutput("SW Net")+Model!X21-Model!X19+Model!X68</f>
        <v>#VALUE!</v>
      </c>
      <c r="BUI2">
        <f>Model!$Y$69</f>
        <v>154491.8467844</v>
      </c>
      <c r="BUJ2" s="79" t="e">
        <f ca="1">_xll.RiskOutput("SW Net")+Model!Y21-Model!Y19+Model!Y68</f>
        <v>#VALUE!</v>
      </c>
      <c r="BUK2">
        <f>Model!$Z$69</f>
        <v>154491.8467844</v>
      </c>
      <c r="BUL2" s="79" t="e">
        <f ca="1">_xll.RiskOutput("SW Net")+Model!Z21-Model!Z19+Model!Z68</f>
        <v>#VALUE!</v>
      </c>
      <c r="BUM2">
        <f>Model!$AA$69</f>
        <v>154491.8467844</v>
      </c>
      <c r="BUN2" s="79" t="e">
        <f ca="1">_xll.RiskOutput("SW Net")+Model!AA21-Model!AA19+Model!AA68</f>
        <v>#VALUE!</v>
      </c>
      <c r="BUO2">
        <f>Model!$AB$69</f>
        <v>154491.8467844</v>
      </c>
      <c r="BUP2" s="79" t="e">
        <f ca="1">_xll.RiskOutput("SW Net")+Model!AB21-Model!AB19+Model!AB68</f>
        <v>#VALUE!</v>
      </c>
      <c r="BUQ2">
        <f>Model!$AC$69</f>
        <v>154491.8467844</v>
      </c>
      <c r="BUR2" s="79" t="e">
        <f ca="1">_xll.RiskOutput("SW Net")+Model!AC21-Model!AC19+Model!AC68</f>
        <v>#VALUE!</v>
      </c>
      <c r="BUS2">
        <f>Model!$AD$69</f>
        <v>154491.8467844</v>
      </c>
      <c r="BUT2" s="79" t="e">
        <f ca="1">_xll.RiskOutput("SW Net")+Model!AD21-Model!AD19+Model!AD68</f>
        <v>#VALUE!</v>
      </c>
      <c r="BUU2">
        <f>Model!$AE$69</f>
        <v>154491.8467844</v>
      </c>
      <c r="BUV2" s="79" t="e">
        <f ca="1">_xll.RiskOutput("SW Net")+Model!AE21-Model!AE19+Model!AE68</f>
        <v>#VALUE!</v>
      </c>
      <c r="BUW2">
        <f>Model!$B$70</f>
        <v>3028108.3818689017</v>
      </c>
      <c r="BUX2" s="4" t="e">
        <f ca="1">_xll.RiskOutput("SW NPV")+NPV(3%,Model!B69:$AE69)</f>
        <v>#VALUE!</v>
      </c>
      <c r="BUY2">
        <f>Model!$C$70</f>
        <v>2964459.7865405688</v>
      </c>
      <c r="BUZ2" s="4" t="e">
        <f ca="1">_xll.RiskOutput("SW NPV")+NPV(3%,Model!C69:$AE69)</f>
        <v>#VALUE!</v>
      </c>
      <c r="BVA2">
        <f>Model!$D$70</f>
        <v>2898901.7333523859</v>
      </c>
      <c r="BVB2" s="4" t="e">
        <f ca="1">_xll.RiskOutput("SW NPV")+NPV(3%,Model!D69:$AE69)</f>
        <v>#VALUE!</v>
      </c>
      <c r="BVC2">
        <f>Model!$E$70</f>
        <v>2831376.9385685576</v>
      </c>
      <c r="BVD2" s="4" t="e">
        <f ca="1">_xll.RiskOutput("SW NPV")+NPV(3%,Model!E69:$AE69)</f>
        <v>#VALUE!</v>
      </c>
      <c r="BVE2">
        <f>Model!$F$70</f>
        <v>2761826.3999412144</v>
      </c>
      <c r="BVF2" s="4" t="e">
        <f ca="1">_xll.RiskOutput("SW NPV")+NPV(3%,Model!F69:$AE69)</f>
        <v>#VALUE!</v>
      </c>
      <c r="BVG2">
        <f>Model!$G$70</f>
        <v>2690189.345155051</v>
      </c>
      <c r="BVH2" s="4" t="e">
        <f ca="1">_xll.RiskOutput("SW NPV")+NPV(3%,Model!G69:$AE69)</f>
        <v>#VALUE!</v>
      </c>
      <c r="BVI2">
        <f>Model!$H$70</f>
        <v>2616403.1787253027</v>
      </c>
      <c r="BVJ2" s="4" t="e">
        <f ca="1">_xll.RiskOutput("SW NPV")+NPV(3%,Model!H69:$AE69)</f>
        <v>#VALUE!</v>
      </c>
      <c r="BVK2">
        <f>Model!$I$70</f>
        <v>2540403.4273026618</v>
      </c>
      <c r="BVL2" s="4" t="e">
        <f ca="1">_xll.RiskOutput("SW NPV")+NPV(3%,Model!I69:$AE69)</f>
        <v>#VALUE!</v>
      </c>
      <c r="BVM2">
        <f>Model!$J$70</f>
        <v>2462123.683337342</v>
      </c>
      <c r="BVN2" s="4" t="e">
        <f ca="1">_xll.RiskOutput("SW NPV")+NPV(3%,Model!J69:$AE69)</f>
        <v>#VALUE!</v>
      </c>
      <c r="BVO2">
        <f>Model!$K$70</f>
        <v>2381495.5470530624</v>
      </c>
      <c r="BVP2" s="4" t="e">
        <f ca="1">_xll.RiskOutput("SW NPV")+NPV(3%,Model!K69:$AE69)</f>
        <v>#VALUE!</v>
      </c>
      <c r="BVQ2">
        <f>Model!$L$70</f>
        <v>2298448.5666802539</v>
      </c>
      <c r="BVR2" s="4" t="e">
        <f ca="1">_xll.RiskOutput("SW NPV")+NPV(3%,Model!L69:$AE69)</f>
        <v>#VALUE!</v>
      </c>
      <c r="BVS2">
        <f>Model!$M$70</f>
        <v>2212910.176896262</v>
      </c>
      <c r="BVT2" s="4" t="e">
        <f ca="1">_xll.RiskOutput("SW NPV")+NPV(3%,Model!M69:$AE69)</f>
        <v>#VALUE!</v>
      </c>
      <c r="BVU2">
        <f>Model!$N$70</f>
        <v>2124805.6354187494</v>
      </c>
      <c r="BVV2" s="4" t="e">
        <f ca="1">_xll.RiskOutput("SW NPV")+NPV(3%,Model!N69:$AE69)</f>
        <v>#VALUE!</v>
      </c>
      <c r="BVW2">
        <f>Model!$O$70</f>
        <v>2034057.9576969123</v>
      </c>
      <c r="BVX2" s="4" t="e">
        <f ca="1">_xll.RiskOutput("SW NPV")+NPV(3%,Model!O69:$AE69)</f>
        <v>#VALUE!</v>
      </c>
      <c r="BVY2">
        <f>Model!$P$70</f>
        <v>1940587.8496434197</v>
      </c>
      <c r="BVZ2" s="4" t="e">
        <f ca="1">_xll.RiskOutput("SW NPV")+NPV(3%,Model!P69:$AE69)</f>
        <v>#VALUE!</v>
      </c>
      <c r="BWA2">
        <f>Model!$Q$70</f>
        <v>1844313.6383483224</v>
      </c>
      <c r="BWB2" s="4" t="e">
        <f ca="1">_xll.RiskOutput("SW NPV")+NPV(3%,Model!Q69:$AE69)</f>
        <v>#VALUE!</v>
      </c>
      <c r="BWC2">
        <f>Model!$R$70</f>
        <v>1745151.2007143721</v>
      </c>
      <c r="BWD2" s="4" t="e">
        <f ca="1">_xll.RiskOutput("SW NPV")+NPV(3%,Model!R69:$AE69)</f>
        <v>#VALUE!</v>
      </c>
      <c r="BWE2">
        <f>Model!$S$70</f>
        <v>1643013.8899514033</v>
      </c>
      <c r="BWF2" s="4" t="e">
        <f ca="1">_xll.RiskOutput("SW NPV")+NPV(3%,Model!S69:$AE69)</f>
        <v>#VALUE!</v>
      </c>
      <c r="BWG2">
        <f>Model!$T$70</f>
        <v>1537812.4598655454</v>
      </c>
      <c r="BWH2" s="4" t="e">
        <f ca="1">_xll.RiskOutput("SW NPV")+NPV(3%,Model!T69:$AE69)</f>
        <v>#VALUE!</v>
      </c>
      <c r="BWI2">
        <f>Model!$U$70</f>
        <v>1429454.986877112</v>
      </c>
      <c r="BWJ2" s="4" t="e">
        <f ca="1">_xll.RiskOutput("SW NPV")+NPV(3%,Model!U69:$AE69)</f>
        <v>#VALUE!</v>
      </c>
      <c r="BWK2">
        <f>Model!$V$70</f>
        <v>1317846.7896990255</v>
      </c>
      <c r="BWL2" s="4" t="e">
        <f ca="1">_xll.RiskOutput("SW NPV")+NPV(3%,Model!V69:$AE69)</f>
        <v>#VALUE!</v>
      </c>
      <c r="BWM2">
        <f>Model!$W$70</f>
        <v>1202890.3466055964</v>
      </c>
      <c r="BWN2" s="4" t="e">
        <f ca="1">_xll.RiskOutput("SW NPV")+NPV(3%,Model!W69:$AE69)</f>
        <v>#VALUE!</v>
      </c>
      <c r="BWO2">
        <f>Model!$X$70</f>
        <v>1084485.2102193641</v>
      </c>
      <c r="BWP2" s="4" t="e">
        <f ca="1">_xll.RiskOutput("SW NPV")+NPV(3%,Model!X69:$AE69)</f>
        <v>#VALUE!</v>
      </c>
      <c r="BWQ2">
        <f>Model!$Y$70</f>
        <v>962527.91974154522</v>
      </c>
      <c r="BWR2" s="4" t="e">
        <f ca="1">_xll.RiskOutput("SW NPV")+NPV(3%,Model!Y69:$AE69)</f>
        <v>#VALUE!</v>
      </c>
      <c r="BWS2">
        <f>Model!$Z$70</f>
        <v>836911.91054939164</v>
      </c>
      <c r="BWT2" s="4" t="e">
        <f ca="1">_xll.RiskOutput("SW NPV")+NPV(3%,Model!Z69:$AE69)</f>
        <v>#VALUE!</v>
      </c>
      <c r="BWU2">
        <f>Model!$AA$70</f>
        <v>707527.42108147335</v>
      </c>
      <c r="BWV2" s="4" t="e">
        <f ca="1">_xll.RiskOutput("SW NPV")+NPV(3%,Model!AA69:$AE69)</f>
        <v>#VALUE!</v>
      </c>
      <c r="BWW2">
        <f>Model!$AB$70</f>
        <v>574261.39692951762</v>
      </c>
      <c r="BWX2" s="4" t="e">
        <f ca="1">_xll.RiskOutput("SW NPV")+NPV(3%,Model!AB69:$AE69)</f>
        <v>#VALUE!</v>
      </c>
      <c r="BWY2">
        <f>Model!$AC$70</f>
        <v>436997.39205300313</v>
      </c>
      <c r="BWZ2" s="4" t="e">
        <f ca="1">_xll.RiskOutput("SW NPV")+NPV(3%,Model!AC69:$AE69)</f>
        <v>#VALUE!</v>
      </c>
      <c r="BXA2">
        <f>Model!$AD$70</f>
        <v>295615.46703019319</v>
      </c>
      <c r="BXB2" s="4" t="e">
        <f ca="1">_xll.RiskOutput("SW NPV")+NPV(3%,Model!AD69:$AE69)</f>
        <v>#VALUE!</v>
      </c>
      <c r="BXC2">
        <f>Model!$AE$70</f>
        <v>149992.08425669902</v>
      </c>
      <c r="BXD2" s="4" t="e">
        <f ca="1">_xll.RiskOutput("SW NPV")+NPV(3%,Model!AE69:$AE69)</f>
        <v>#VALUE!</v>
      </c>
      <c r="BXE2">
        <f>Model!$B$72</f>
        <v>195175.8512</v>
      </c>
      <c r="BXF2" t="e">
        <f ca="1">RiskValStatic(195175.8512)+_xll.RiskMean(Model!B69,1)</f>
        <v>#NAME?</v>
      </c>
      <c r="BXG2">
        <f>Model!$C$72</f>
        <v>194104.2464</v>
      </c>
      <c r="BXH2" t="e">
        <f ca="1">RiskValStatic(194104.2464)+_xll.RiskMean(Model!C69,1)</f>
        <v>#NAME?</v>
      </c>
      <c r="BXI2">
        <f>Model!$D$72</f>
        <v>194744.59899999999</v>
      </c>
      <c r="BXJ2" t="e">
        <f ca="1">RiskValStatic(194744.599)+_xll.RiskMean(Model!D69,1)</f>
        <v>#NAME?</v>
      </c>
      <c r="BXK2">
        <f>Model!$E$72</f>
        <v>194333.973</v>
      </c>
      <c r="BXL2" t="e">
        <f ca="1">RiskValStatic(194333.973)+_xll.RiskMean(Model!E69,1)</f>
        <v>#NAME?</v>
      </c>
      <c r="BXM2">
        <f>Model!$F$72</f>
        <v>192877.63130000001</v>
      </c>
      <c r="BXN2" t="e">
        <f ca="1">RiskValStatic(192877.6313)+_xll.RiskMean(Model!F69,1)</f>
        <v>#NAME?</v>
      </c>
      <c r="BXO2">
        <f>Model!$G$72</f>
        <v>194155.95910000001</v>
      </c>
      <c r="BXP2" t="e">
        <f ca="1">RiskValStatic(194155.9591)+_xll.RiskMean(Model!G69,1)</f>
        <v>#NAME?</v>
      </c>
      <c r="BXQ2">
        <f>Model!$H$72</f>
        <v>193416.2885</v>
      </c>
      <c r="BXR2" t="e">
        <f ca="1">RiskValStatic(193416.2885)+_xll.RiskMean(Model!H69,1)</f>
        <v>#NAME?</v>
      </c>
      <c r="BXS2">
        <f>Model!$I$72</f>
        <v>194966.98199999999</v>
      </c>
      <c r="BXT2" t="e">
        <f ca="1">RiskValStatic(194966.982)+_xll.RiskMean(Model!I69,1)</f>
        <v>#NAME?</v>
      </c>
      <c r="BXU2">
        <f>Model!$J$72</f>
        <v>194221.3824</v>
      </c>
      <c r="BXV2" t="e">
        <f ca="1">RiskValStatic(194221.3824)+_xll.RiskMean(Model!J69,1)</f>
        <v>#NAME?</v>
      </c>
      <c r="BXW2">
        <f>Model!$K$72</f>
        <v>194206.0508</v>
      </c>
      <c r="BXX2" t="e">
        <f ca="1">RiskValStatic(194206.0508)+_xll.RiskMean(Model!K69,1)</f>
        <v>#NAME?</v>
      </c>
      <c r="BXY2">
        <f>Model!$L$72</f>
        <v>193618.04310000001</v>
      </c>
      <c r="BXZ2" t="e">
        <f ca="1">RiskValStatic(193618.0431)+_xll.RiskMean(Model!L69,1)</f>
        <v>#NAME?</v>
      </c>
      <c r="BYA2">
        <f>Model!$M$72</f>
        <v>194278.92739999999</v>
      </c>
      <c r="BYB2" t="e">
        <f ca="1">RiskValStatic(194278.9274)+_xll.RiskMean(Model!M69,1)</f>
        <v>#NAME?</v>
      </c>
      <c r="BYC2">
        <f>Model!$N$72</f>
        <v>193671.1667</v>
      </c>
      <c r="BYD2" t="e">
        <f ca="1">RiskValStatic(193671.1667)+_xll.RiskMean(Model!N69,1)</f>
        <v>#NAME?</v>
      </c>
      <c r="BYE2">
        <f>Model!$O$72</f>
        <v>192966.13800000001</v>
      </c>
      <c r="BYF2" t="e">
        <f ca="1">RiskValStatic(192966.138)+_xll.RiskMean(Model!O69,1)</f>
        <v>#NAME?</v>
      </c>
      <c r="BYG2">
        <f>Model!$P$72</f>
        <v>193993.93780000001</v>
      </c>
      <c r="BYH2" t="e">
        <f ca="1">RiskValStatic(193993.9378)+_xll.RiskMean(Model!P69,1)</f>
        <v>#NAME?</v>
      </c>
      <c r="BYI2">
        <f>Model!$Q$72</f>
        <v>194885.3316</v>
      </c>
      <c r="BYJ2" t="e">
        <f ca="1">RiskValStatic(194885.3316)+_xll.RiskMean(Model!Q69,1)</f>
        <v>#NAME?</v>
      </c>
      <c r="BYK2">
        <f>Model!$R$72</f>
        <v>193671.92860000001</v>
      </c>
      <c r="BYL2" t="e">
        <f ca="1">RiskValStatic(193671.9286)+_xll.RiskMean(Model!R69,1)</f>
        <v>#NAME?</v>
      </c>
      <c r="BYM2">
        <f>Model!$S$72</f>
        <v>194083.72029999999</v>
      </c>
      <c r="BYN2" t="e">
        <f ca="1">RiskValStatic(194083.7203)+_xll.RiskMean(Model!S69,1)</f>
        <v>#NAME?</v>
      </c>
      <c r="BYO2">
        <f>Model!$T$72</f>
        <v>194542.1588</v>
      </c>
      <c r="BYP2" t="e">
        <f ca="1">RiskValStatic(194542.1588)+_xll.RiskMean(Model!T69,1)</f>
        <v>#NAME?</v>
      </c>
      <c r="BYQ2">
        <f>Model!$U$72</f>
        <v>194465.10140000001</v>
      </c>
      <c r="BYR2" t="e">
        <f ca="1">RiskValStatic(194465.1014)+_xll.RiskMean(Model!U69,1)</f>
        <v>#NAME?</v>
      </c>
      <c r="BYS2">
        <f>Model!$V$72</f>
        <v>192943.03450000001</v>
      </c>
      <c r="BYT2" t="e">
        <f ca="1">RiskValStatic(192943.0345)+_xll.RiskMean(Model!V69,1)</f>
        <v>#NAME?</v>
      </c>
      <c r="BYU2">
        <f>Model!$W$72</f>
        <v>194973.57310000001</v>
      </c>
      <c r="BYV2" t="e">
        <f ca="1">RiskValStatic(194973.5731)+_xll.RiskMean(Model!W69,1)</f>
        <v>#NAME?</v>
      </c>
      <c r="BYW2">
        <f>Model!$X$72</f>
        <v>195259.7678</v>
      </c>
      <c r="BYX2" t="e">
        <f ca="1">RiskValStatic(195259.7678)+_xll.RiskMean(Model!X69,1)</f>
        <v>#NAME?</v>
      </c>
      <c r="BYY2">
        <f>Model!$Y$72</f>
        <v>193859.04560000001</v>
      </c>
      <c r="BYZ2" t="e">
        <f ca="1">RiskValStatic(193859.0456)+_xll.RiskMean(Model!Y69,1)</f>
        <v>#NAME?</v>
      </c>
      <c r="BZA2">
        <f>Model!$Z$72</f>
        <v>193158.34899999999</v>
      </c>
      <c r="BZB2" t="e">
        <f ca="1">RiskValStatic(193158.349)+_xll.RiskMean(Model!Z69,1)</f>
        <v>#NAME?</v>
      </c>
      <c r="BZC2">
        <f>Model!$AA$72</f>
        <v>192102.8995</v>
      </c>
      <c r="BZD2" t="e">
        <f ca="1">RiskValStatic(192102.8995)+_xll.RiskMean(Model!AA69,1)</f>
        <v>#NAME?</v>
      </c>
      <c r="BZE2">
        <f>Model!$AB$72</f>
        <v>193631.3781</v>
      </c>
      <c r="BZF2" t="e">
        <f ca="1">RiskValStatic(193631.3781)+_xll.RiskMean(Model!AB69,1)</f>
        <v>#NAME?</v>
      </c>
      <c r="BZG2">
        <f>Model!$AC$72</f>
        <v>194912.2311</v>
      </c>
      <c r="BZH2" t="e">
        <f ca="1">RiskValStatic(194912.2311)+_xll.RiskMean(Model!AC69,1)</f>
        <v>#NAME?</v>
      </c>
      <c r="BZI2">
        <f>Model!$AD$72</f>
        <v>194443.48190000001</v>
      </c>
      <c r="BZJ2" t="e">
        <f ca="1">RiskValStatic(194443.4819)+_xll.RiskMean(Model!AD69,1)</f>
        <v>#NAME?</v>
      </c>
      <c r="BZK2">
        <f>Model!$AE$72</f>
        <v>194254.43729999999</v>
      </c>
      <c r="BZL2" t="e">
        <f ca="1">RiskValStatic(194254.4373)+_xll.RiskMean(Model!AE69,1)</f>
        <v>#NAME?</v>
      </c>
      <c r="BZM2">
        <f>Model!$B$73</f>
        <v>3804208.32</v>
      </c>
      <c r="BZN2" t="e">
        <f ca="1">RiskValStatic(3804208.32)+_xll.RiskMean(Model!B$70,1)</f>
        <v>#NAME?</v>
      </c>
      <c r="BZO2">
        <f>Model!$C$73</f>
        <v>3723158.7179999999</v>
      </c>
      <c r="BZP2" t="e">
        <f ca="1">RiskValStatic(3723158.718)+_xll.RiskMean(Model!C$70,1)</f>
        <v>#NAME?</v>
      </c>
      <c r="BZQ2">
        <f>Model!$D$73</f>
        <v>3640749.233</v>
      </c>
      <c r="BZR2" t="e">
        <f ca="1">RiskValStatic(3640749.233)+_xll.RiskMean(Model!D$70,1)</f>
        <v>#NAME?</v>
      </c>
      <c r="BZS2">
        <f>Model!$E$73</f>
        <v>3555227.111</v>
      </c>
      <c r="BZT2" t="e">
        <f ca="1">RiskValStatic(3555227.111)+_xll.RiskMean(Model!E$70,1)</f>
        <v>#NAME?</v>
      </c>
      <c r="BZU2">
        <f>Model!$F$73</f>
        <v>3467549.952</v>
      </c>
      <c r="BZV2" t="e">
        <f ca="1">RiskValStatic(3467549.952)+_xll.RiskMean(Model!F$70,1)</f>
        <v>#NAME?</v>
      </c>
      <c r="BZW2">
        <f>Model!$G$73</f>
        <v>3378698.8190000001</v>
      </c>
      <c r="BZX2" t="e">
        <f ca="1">RiskValStatic(3378698.819)+_xll.RiskMean(Model!G$70,1)</f>
        <v>#NAME?</v>
      </c>
      <c r="BZY2">
        <f>Model!$H$73</f>
        <v>3285903.824</v>
      </c>
      <c r="BZZ2" t="e">
        <f ca="1">RiskValStatic(3285903.824)+_xll.RiskMean(Model!H$70,1)</f>
        <v>#NAME?</v>
      </c>
      <c r="CAA2">
        <f>Model!$I$73</f>
        <v>3191064.6510000001</v>
      </c>
      <c r="CAB2" t="e">
        <f ca="1">RiskValStatic(3191064.651)+_xll.RiskMean(Model!I$70,1)</f>
        <v>#NAME?</v>
      </c>
      <c r="CAC2">
        <f>Model!$J$73</f>
        <v>3091829.608</v>
      </c>
      <c r="CAD2" t="e">
        <f ca="1">RiskValStatic(3091829.608)+_xll.RiskMean(Model!J$70,1)</f>
        <v>#NAME?</v>
      </c>
      <c r="CAE2">
        <f>Model!$K$73</f>
        <v>2990363.1140000001</v>
      </c>
      <c r="CAF2" t="e">
        <f ca="1">RiskValStatic(2990363.114)+_xll.RiskMean(Model!K$70,1)</f>
        <v>#NAME?</v>
      </c>
      <c r="CAG2">
        <f>Model!$L$73</f>
        <v>2885867.9569999999</v>
      </c>
      <c r="CAH2" t="e">
        <f ca="1">RiskValStatic(2885867.957)+_xll.RiskMean(Model!L$70,1)</f>
        <v>#NAME?</v>
      </c>
      <c r="CAI2">
        <f>Model!$M$73</f>
        <v>2778825.952</v>
      </c>
      <c r="CAJ2" t="e">
        <f ca="1">RiskValStatic(2778825.952)+_xll.RiskMean(Model!M$70,1)</f>
        <v>#NAME?</v>
      </c>
      <c r="CAK2">
        <f>Model!$N$73</f>
        <v>2667911.8029999998</v>
      </c>
      <c r="CAL2" t="e">
        <f ca="1">RiskValStatic(2667911.803)+_xll.RiskMean(Model!N$70,1)</f>
        <v>#NAME?</v>
      </c>
      <c r="CAM2">
        <f>Model!$O$73</f>
        <v>2554277.9909999999</v>
      </c>
      <c r="CAN2" t="e">
        <f ca="1">RiskValStatic(2554277.991)+_xll.RiskMean(Model!O$70,1)</f>
        <v>#NAME?</v>
      </c>
      <c r="CAO2">
        <f>Model!$P$73</f>
        <v>2437940.193</v>
      </c>
      <c r="CAP2" t="e">
        <f ca="1">RiskValStatic(2437940.193)+_xll.RiskMean(Model!P$70,1)</f>
        <v>#NAME?</v>
      </c>
      <c r="CAQ2">
        <f>Model!$Q$73</f>
        <v>2317084.4610000001</v>
      </c>
      <c r="CAR2" t="e">
        <f ca="1">RiskValStatic(2317084.461)+_xll.RiskMean(Model!Q$70,1)</f>
        <v>#NAME?</v>
      </c>
      <c r="CAS2">
        <f>Model!$R$73</f>
        <v>2191711.6630000002</v>
      </c>
      <c r="CAT2" t="e">
        <f ca="1">RiskValStatic(2191711.663)+_xll.RiskMean(Model!R$70,1)</f>
        <v>#NAME?</v>
      </c>
      <c r="CAU2">
        <f>Model!$S$73</f>
        <v>2063791.084</v>
      </c>
      <c r="CAV2" t="e">
        <f ca="1">RiskValStatic(2063791.084)+_xll.RiskMean(Model!S$70,1)</f>
        <v>#NAME?</v>
      </c>
      <c r="CAW2">
        <f>Model!$T$73</f>
        <v>1931621.0959999999</v>
      </c>
      <c r="CAX2" t="e">
        <f ca="1">RiskValStatic(1931621.096)+_xll.RiskMean(Model!T$70,1)</f>
        <v>#NAME?</v>
      </c>
      <c r="CAY2">
        <f>Model!$U$73</f>
        <v>1795027.57</v>
      </c>
      <c r="CAZ2" t="e">
        <f ca="1">RiskValStatic(1795027.57)+_xll.RiskMean(Model!U$70,1)</f>
        <v>#NAME?</v>
      </c>
      <c r="CBA2">
        <f>Model!$V$73</f>
        <v>1654413.2960000001</v>
      </c>
      <c r="CBB2" t="e">
        <f ca="1">RiskValStatic(1654413.296)+_xll.RiskMean(Model!V$70,1)</f>
        <v>#NAME?</v>
      </c>
      <c r="CBC2">
        <f>Model!$W$73</f>
        <v>1511102.6610000001</v>
      </c>
      <c r="CBD2" t="e">
        <f ca="1">RiskValStatic(1511102.661)+_xll.RiskMean(Model!W$70,1)</f>
        <v>#NAME?</v>
      </c>
      <c r="CBE2">
        <f>Model!$X$73</f>
        <v>1361462.1669999999</v>
      </c>
      <c r="CBF2" t="e">
        <f ca="1">RiskValStatic(1361462.167)+_xll.RiskMean(Model!X$70,1)</f>
        <v>#NAME?</v>
      </c>
      <c r="CBG2">
        <f>Model!$Y$73</f>
        <v>1207046.2649999999</v>
      </c>
      <c r="CBH2" t="e">
        <f ca="1">RiskValStatic(1207046.265)+_xll.RiskMean(Model!Y$70,1)</f>
        <v>#NAME?</v>
      </c>
      <c r="CBI2">
        <f>Model!$Z$73</f>
        <v>1049398.6070000001</v>
      </c>
      <c r="CBJ2" t="e">
        <f ca="1">RiskValStatic(1049398.607)+_xll.RiskMean(Model!Z$70,1)</f>
        <v>#NAME?</v>
      </c>
      <c r="CBK2">
        <f>Model!$AA$73</f>
        <v>887722.21609999996</v>
      </c>
      <c r="CBL2" t="e">
        <f ca="1">RiskValStatic(887722.2161)+_xll.RiskMean(Model!AA$70,1)</f>
        <v>#NAME?</v>
      </c>
      <c r="CBM2">
        <f>Model!$AB$73</f>
        <v>722250.98309999995</v>
      </c>
      <c r="CBN2" t="e">
        <f ca="1">RiskValStatic(722250.9831)+_xll.RiskMean(Model!AB$70,1)</f>
        <v>#NAME?</v>
      </c>
      <c r="CBO2">
        <f>Model!$AC$73</f>
        <v>550287.13450000004</v>
      </c>
      <c r="CBP2" t="e">
        <f ca="1">RiskValStatic(550287.1345)+_xll.RiskMean(Model!AC$70,1)</f>
        <v>#NAME?</v>
      </c>
      <c r="CBQ2">
        <f>Model!$AD$73</f>
        <v>371883.51740000001</v>
      </c>
      <c r="CBR2" t="e">
        <f ca="1">RiskValStatic(371883.5174)+_xll.RiskMean(Model!AD$70,1)</f>
        <v>#NAME?</v>
      </c>
      <c r="CBS2">
        <f>Model!$AE$73</f>
        <v>188596.541</v>
      </c>
      <c r="CBT2" t="e">
        <f ca="1">RiskValStatic(188596.541)+_xll.RiskMean(Model!AE$70,1)</f>
        <v>#NAME?</v>
      </c>
      <c r="CBU2">
        <f>Model!$B$75</f>
        <v>3716266.0290000001</v>
      </c>
      <c r="CBV2" t="e">
        <f ca="1">RiskValStatic(3716266.029)+_xll.RiskMean(Model!B$70,2)</f>
        <v>#NAME?</v>
      </c>
      <c r="CBW2">
        <f>Model!$C$75</f>
        <v>3629577.9619999998</v>
      </c>
      <c r="CBX2" t="e">
        <f ca="1">RiskValStatic(3629577.962)+_xll.RiskMean(Model!C$70,2)</f>
        <v>#NAME?</v>
      </c>
      <c r="CBY2">
        <f>Model!$D$75</f>
        <v>3541544.8689999999</v>
      </c>
      <c r="CBZ2" t="e">
        <f ca="1">RiskValStatic(3541544.869)+_xll.RiskMean(Model!D$70,2)</f>
        <v>#NAME?</v>
      </c>
      <c r="CCA2">
        <f>Model!$E$75</f>
        <v>3450367.4019999998</v>
      </c>
      <c r="CCB2" t="e">
        <f ca="1">RiskValStatic(3450367.402)+_xll.RiskMean(Model!E$70,2)</f>
        <v>#NAME?</v>
      </c>
      <c r="CCC2">
        <f>Model!$F$75</f>
        <v>3357660.14</v>
      </c>
      <c r="CCD2" t="e">
        <f ca="1">RiskValStatic(3357660.14)+_xll.RiskMean(Model!F$70,2)</f>
        <v>#NAME?</v>
      </c>
      <c r="CCE2">
        <f>Model!$G$75</f>
        <v>3263523.7239999999</v>
      </c>
      <c r="CCF2" t="e">
        <f ca="1">RiskValStatic(3263523.724)+_xll.RiskMean(Model!G$70,2)</f>
        <v>#NAME?</v>
      </c>
      <c r="CCG2">
        <f>Model!$H$75</f>
        <v>3166352.8110000002</v>
      </c>
      <c r="CCH2" t="e">
        <f ca="1">RiskValStatic(3166352.811)+_xll.RiskMean(Model!H$70,2)</f>
        <v>#NAME?</v>
      </c>
      <c r="CCI2">
        <f>Model!$I$75</f>
        <v>3067930.6</v>
      </c>
      <c r="CCJ2" t="e">
        <f ca="1">RiskValStatic(3067930.6)+_xll.RiskMean(Model!I$70,2)</f>
        <v>#NAME?</v>
      </c>
      <c r="CCK2">
        <f>Model!$J$75</f>
        <v>2966223.679</v>
      </c>
      <c r="CCL2" t="e">
        <f ca="1">RiskValStatic(2966223.679)+_xll.RiskMean(Model!J$70,2)</f>
        <v>#NAME?</v>
      </c>
      <c r="CCM2">
        <f>Model!$K$75</f>
        <v>2862042.554</v>
      </c>
      <c r="CCN2" t="e">
        <f ca="1">RiskValStatic(2862042.554)+_xll.RiskMean(Model!K$70,2)</f>
        <v>#NAME?</v>
      </c>
      <c r="CCO2">
        <f>Model!$L$75</f>
        <v>2755886.2779999999</v>
      </c>
      <c r="CCP2" t="e">
        <f ca="1">RiskValStatic(2755886.278)+_xll.RiskMean(Model!L$70,2)</f>
        <v>#NAME?</v>
      </c>
      <c r="CCQ2">
        <f>Model!$M$75</f>
        <v>2647678.9679999999</v>
      </c>
      <c r="CCR2" t="e">
        <f ca="1">RiskValStatic(2647678.968)+_xll.RiskMean(Model!M$70,2)</f>
        <v>#NAME?</v>
      </c>
      <c r="CCS2">
        <f>Model!$N$75</f>
        <v>2537176.801</v>
      </c>
      <c r="CCT2" t="e">
        <f ca="1">RiskValStatic(2537176.801)+_xll.RiskMean(Model!N$70,2)</f>
        <v>#NAME?</v>
      </c>
      <c r="CCU2">
        <f>Model!$O$75</f>
        <v>2423318.8939999999</v>
      </c>
      <c r="CCV2" t="e">
        <f ca="1">RiskValStatic(2423318.894)+_xll.RiskMean(Model!O$70,2)</f>
        <v>#NAME?</v>
      </c>
      <c r="CCW2">
        <f>Model!$P$75</f>
        <v>2307866.179</v>
      </c>
      <c r="CCX2" t="e">
        <f ca="1">RiskValStatic(2307866.179)+_xll.RiskMean(Model!P$70,2)</f>
        <v>#NAME?</v>
      </c>
      <c r="CCY2">
        <f>Model!$Q$75</f>
        <v>2190455.5430000001</v>
      </c>
      <c r="CCZ2" t="e">
        <f ca="1">RiskValStatic(2190455.543)+_xll.RiskMean(Model!Q$70,2)</f>
        <v>#NAME?</v>
      </c>
      <c r="CDA2">
        <f>Model!$R$75</f>
        <v>2067664.642</v>
      </c>
      <c r="CDB2" t="e">
        <f ca="1">RiskValStatic(2067664.642)+_xll.RiskMean(Model!R$70,2)</f>
        <v>#NAME?</v>
      </c>
      <c r="CDC2">
        <f>Model!$S$75</f>
        <v>1943025.8959999999</v>
      </c>
      <c r="CDD2" t="e">
        <f ca="1">RiskValStatic(1943025.896)+_xll.RiskMean(Model!S$70,2)</f>
        <v>#NAME?</v>
      </c>
      <c r="CDE2">
        <f>Model!$T$75</f>
        <v>1817247.0090000001</v>
      </c>
      <c r="CDF2" t="e">
        <f ca="1">RiskValStatic(1817247.009)+_xll.RiskMean(Model!T$70,2)</f>
        <v>#NAME?</v>
      </c>
      <c r="CDG2">
        <f>Model!$U$75</f>
        <v>1685128.915</v>
      </c>
      <c r="CDH2" t="e">
        <f ca="1">RiskValStatic(1685128.915)+_xll.RiskMean(Model!U$70,2)</f>
        <v>#NAME?</v>
      </c>
      <c r="CDI2">
        <f>Model!$V$75</f>
        <v>1550242.058</v>
      </c>
      <c r="CDJ2" t="e">
        <f ca="1">RiskValStatic(1550242.058)+_xll.RiskMean(Model!V$70,2)</f>
        <v>#NAME?</v>
      </c>
      <c r="CDK2">
        <f>Model!$W$75</f>
        <v>1413101.7120000001</v>
      </c>
      <c r="CDL2" t="e">
        <f ca="1">RiskValStatic(1413101.712)+_xll.RiskMean(Model!W$70,2)</f>
        <v>#NAME?</v>
      </c>
      <c r="CDM2">
        <f>Model!$X$75</f>
        <v>1270165.6440000001</v>
      </c>
      <c r="CDN2" t="e">
        <f ca="1">RiskValStatic(1270165.644)+_xll.RiskMean(Model!X$70,2)</f>
        <v>#NAME?</v>
      </c>
      <c r="CDO2">
        <f>Model!$Y$75</f>
        <v>1125240.2560000001</v>
      </c>
      <c r="CDP2" t="e">
        <f ca="1">RiskValStatic(1125240.256)+_xll.RiskMean(Model!Y$70,2)</f>
        <v>#NAME?</v>
      </c>
      <c r="CDQ2">
        <f>Model!$Z$75</f>
        <v>978805.35109999997</v>
      </c>
      <c r="CDR2" t="e">
        <f ca="1">RiskValStatic(978805.3511)+_xll.RiskMean(Model!Z$70,2)</f>
        <v>#NAME?</v>
      </c>
      <c r="CDS2">
        <f>Model!$AA$75</f>
        <v>828343.12840000005</v>
      </c>
      <c r="CDT2" t="e">
        <f ca="1">RiskValStatic(828343.1284)+_xll.RiskMean(Model!AA$70,2)</f>
        <v>#NAME?</v>
      </c>
      <c r="CDU2">
        <f>Model!$AB$75</f>
        <v>674792.64520000003</v>
      </c>
      <c r="CDV2" t="e">
        <f ca="1">RiskValStatic(674792.6452)+_xll.RiskMean(Model!AB$70,2)</f>
        <v>#NAME?</v>
      </c>
      <c r="CDW2">
        <f>Model!$AC$75</f>
        <v>514523.78490000003</v>
      </c>
      <c r="CDX2" t="e">
        <f ca="1">RiskValStatic(514523.7849)+_xll.RiskMean(Model!AC$70,2)</f>
        <v>#NAME?</v>
      </c>
      <c r="CDY2">
        <f>Model!$AD$75</f>
        <v>346560.56280000001</v>
      </c>
      <c r="CDZ2" t="e">
        <f ca="1">RiskValStatic(346560.5628)+_xll.RiskMean(Model!AD$70,2)</f>
        <v>#NAME?</v>
      </c>
      <c r="CEA2">
        <f>Model!$AE$75</f>
        <v>176768.35060000001</v>
      </c>
      <c r="CEB2" t="e">
        <f ca="1">RiskValStatic(176768.3506)+_xll.RiskMean(Model!AE$70,2)</f>
        <v>#NAME?</v>
      </c>
      <c r="CEC2">
        <f>Model!$B$76</f>
        <v>3716266.0290000001</v>
      </c>
      <c r="CED2" t="e">
        <f ca="1">RiskValStatic(3716266.029)+_xll.RiskMean(Model!B70,2)</f>
        <v>#NAME?</v>
      </c>
      <c r="CEE2">
        <f>Model!$C$76</f>
        <v>3629577.9619999998</v>
      </c>
      <c r="CEF2" t="e">
        <f ca="1">RiskValStatic(3629577.962)+_xll.RiskMean(Model!C70,2)</f>
        <v>#NAME?</v>
      </c>
      <c r="CEG2">
        <f>Model!$D$76</f>
        <v>3541544.8689999999</v>
      </c>
      <c r="CEH2" t="e">
        <f ca="1">RiskValStatic(3541544.869)+_xll.RiskMean(Model!D70,2)</f>
        <v>#NAME?</v>
      </c>
      <c r="CEI2">
        <f>Model!$E$76</f>
        <v>3450367.4019999998</v>
      </c>
      <c r="CEJ2" t="e">
        <f ca="1">RiskValStatic(3450367.402)+_xll.RiskMean(Model!E70,2)</f>
        <v>#NAME?</v>
      </c>
      <c r="CEK2">
        <f>Model!$F$76</f>
        <v>3357660.14</v>
      </c>
      <c r="CEL2" t="e">
        <f ca="1">RiskValStatic(3357660.14)+_xll.RiskMean(Model!F70,2)</f>
        <v>#NAME?</v>
      </c>
      <c r="CEM2">
        <f>Model!$G$76</f>
        <v>3263523.7239999999</v>
      </c>
      <c r="CEN2" t="e">
        <f ca="1">RiskValStatic(3263523.724)+_xll.RiskMean(Model!G70,2)</f>
        <v>#NAME?</v>
      </c>
      <c r="CEO2">
        <f>Model!$H$76</f>
        <v>3166352.8110000002</v>
      </c>
      <c r="CEP2" t="e">
        <f ca="1">RiskValStatic(3166352.811)+_xll.RiskMean(Model!H70,2)</f>
        <v>#NAME?</v>
      </c>
      <c r="CEQ2">
        <f>Model!$I$76</f>
        <v>3067930.6</v>
      </c>
      <c r="CER2" t="e">
        <f ca="1">RiskValStatic(3067930.6)+_xll.RiskMean(Model!I70,2)</f>
        <v>#NAME?</v>
      </c>
      <c r="CES2">
        <f>Model!$J$76</f>
        <v>2966223.679</v>
      </c>
      <c r="CET2" t="e">
        <f ca="1">RiskValStatic(2966223.679)+_xll.RiskMean(Model!J70,2)</f>
        <v>#NAME?</v>
      </c>
      <c r="CEU2">
        <f>Model!$K$76</f>
        <v>2862042.554</v>
      </c>
      <c r="CEV2" t="e">
        <f ca="1">RiskValStatic(2862042.554)+_xll.RiskMean(Model!K70,2)</f>
        <v>#NAME?</v>
      </c>
      <c r="CEW2">
        <f>Model!$L$76</f>
        <v>2755886.2779999999</v>
      </c>
      <c r="CEX2" t="e">
        <f ca="1">RiskValStatic(2755886.278)+_xll.RiskMean(Model!L70,2)</f>
        <v>#NAME?</v>
      </c>
      <c r="CEY2">
        <f>Model!$M$76</f>
        <v>2647678.9679999999</v>
      </c>
      <c r="CEZ2" t="e">
        <f ca="1">RiskValStatic(2647678.968)+_xll.RiskMean(Model!M70,2)</f>
        <v>#NAME?</v>
      </c>
      <c r="CFA2">
        <f>Model!$N$76</f>
        <v>2537176.801</v>
      </c>
      <c r="CFB2" t="e">
        <f ca="1">RiskValStatic(2537176.801)+_xll.RiskMean(Model!N70,2)</f>
        <v>#NAME?</v>
      </c>
      <c r="CFC2">
        <f>Model!$O$76</f>
        <v>2423318.8939999999</v>
      </c>
      <c r="CFD2" t="e">
        <f ca="1">RiskValStatic(2423318.894)+_xll.RiskMean(Model!O70,2)</f>
        <v>#NAME?</v>
      </c>
      <c r="CFE2">
        <f>Model!$P$76</f>
        <v>2307866.179</v>
      </c>
      <c r="CFF2" t="e">
        <f ca="1">RiskValStatic(2307866.179)+_xll.RiskMean(Model!P70,2)</f>
        <v>#NAME?</v>
      </c>
      <c r="CFG2">
        <f>Model!$Q$76</f>
        <v>2190455.5430000001</v>
      </c>
      <c r="CFH2" t="e">
        <f ca="1">RiskValStatic(2190455.543)+_xll.RiskMean(Model!Q70,2)</f>
        <v>#NAME?</v>
      </c>
      <c r="CFI2">
        <f>Model!$R$76</f>
        <v>2067664.642</v>
      </c>
      <c r="CFJ2" t="e">
        <f ca="1">RiskValStatic(2067664.642)+_xll.RiskMean(Model!R70,2)</f>
        <v>#NAME?</v>
      </c>
      <c r="CFK2">
        <f>Model!$S$76</f>
        <v>1943025.8959999999</v>
      </c>
      <c r="CFL2" t="e">
        <f ca="1">RiskValStatic(1943025.896)+_xll.RiskMean(Model!S70,2)</f>
        <v>#NAME?</v>
      </c>
      <c r="CFM2">
        <f>Model!$T$76</f>
        <v>1817247.0090000001</v>
      </c>
      <c r="CFN2" t="e">
        <f ca="1">RiskValStatic(1817247.009)+_xll.RiskMean(Model!T70,2)</f>
        <v>#NAME?</v>
      </c>
      <c r="CFO2">
        <f>Model!$U$76</f>
        <v>1685128.915</v>
      </c>
      <c r="CFP2" t="e">
        <f ca="1">RiskValStatic(1685128.915)+_xll.RiskMean(Model!U70,2)</f>
        <v>#NAME?</v>
      </c>
      <c r="CFQ2">
        <f>Model!$V$76</f>
        <v>1550242.058</v>
      </c>
      <c r="CFR2" t="e">
        <f ca="1">RiskValStatic(1550242.058)+_xll.RiskMean(Model!V70,2)</f>
        <v>#NAME?</v>
      </c>
      <c r="CFS2">
        <f>Model!$W$76</f>
        <v>1413101.7120000001</v>
      </c>
      <c r="CFT2" t="e">
        <f ca="1">RiskValStatic(1413101.712)+_xll.RiskMean(Model!W70,2)</f>
        <v>#NAME?</v>
      </c>
      <c r="CFU2">
        <f>Model!$X$76</f>
        <v>1270165.6440000001</v>
      </c>
      <c r="CFV2" t="e">
        <f ca="1">RiskValStatic(1270165.644)+_xll.RiskMean(Model!X70,2)</f>
        <v>#NAME?</v>
      </c>
      <c r="CFW2">
        <f>Model!$Y$76</f>
        <v>1125240.2560000001</v>
      </c>
      <c r="CFX2" t="e">
        <f ca="1">RiskValStatic(1125240.256)+_xll.RiskMean(Model!Y70,2)</f>
        <v>#NAME?</v>
      </c>
      <c r="CFY2">
        <f>Model!$Z$76</f>
        <v>978805.35109999997</v>
      </c>
      <c r="CFZ2" t="e">
        <f ca="1">RiskValStatic(978805.3511)+_xll.RiskMean(Model!Z70,2)</f>
        <v>#NAME?</v>
      </c>
      <c r="CGA2">
        <f>Model!$AA$76</f>
        <v>828343.12840000005</v>
      </c>
      <c r="CGB2" t="e">
        <f ca="1">RiskValStatic(828343.1284)+_xll.RiskMean(Model!AA70,2)</f>
        <v>#NAME?</v>
      </c>
      <c r="CGC2">
        <f>Model!$AB$76</f>
        <v>674792.64520000003</v>
      </c>
      <c r="CGD2" t="e">
        <f ca="1">RiskValStatic(674792.6452)+_xll.RiskMean(Model!AB70,2)</f>
        <v>#NAME?</v>
      </c>
      <c r="CGE2">
        <f>Model!$AC$76</f>
        <v>514523.78490000003</v>
      </c>
      <c r="CGF2" t="e">
        <f ca="1">RiskValStatic(514523.7849)+_xll.RiskMean(Model!AC70,2)</f>
        <v>#NAME?</v>
      </c>
      <c r="CGG2">
        <f>Model!$AD$76</f>
        <v>346560.56280000001</v>
      </c>
      <c r="CGH2" t="e">
        <f ca="1">RiskValStatic(346560.5628)+_xll.RiskMean(Model!AD70,2)</f>
        <v>#NAME?</v>
      </c>
      <c r="CGI2">
        <f>Model!$AE$76</f>
        <v>176768.35060000001</v>
      </c>
      <c r="CGJ2" t="e">
        <f ca="1">RiskValStatic(176768.3506)+_xll.RiskMean(Model!AE70,2)</f>
        <v>#NAME?</v>
      </c>
      <c r="CGK2">
        <f>Model!$B$78</f>
        <v>198176.0477</v>
      </c>
      <c r="CGL2" t="e">
        <f ca="1">RiskValStatic(198176.0477)+_xll.RiskMean(Model!B69,3)</f>
        <v>#NAME?</v>
      </c>
      <c r="CGM2">
        <f>Model!$C$78</f>
        <v>196148.5986</v>
      </c>
      <c r="CGN2" t="e">
        <f ca="1">RiskValStatic(196148.5986)+_xll.RiskMean(Model!C69,3)</f>
        <v>#NAME?</v>
      </c>
      <c r="CGO2">
        <f>Model!$D$78</f>
        <v>197191.2867</v>
      </c>
      <c r="CGP2" t="e">
        <f ca="1">RiskValStatic(197191.2867)+_xll.RiskMean(Model!D69,3)</f>
        <v>#NAME?</v>
      </c>
      <c r="CGQ2">
        <f>Model!$E$78</f>
        <v>195038.2064</v>
      </c>
      <c r="CGR2" t="e">
        <f ca="1">RiskValStatic(195038.2064)+_xll.RiskMean(Model!E69,3)</f>
        <v>#NAME?</v>
      </c>
      <c r="CGS2">
        <f>Model!$F$78</f>
        <v>192633.6361</v>
      </c>
      <c r="CGT2" t="e">
        <f ca="1">RiskValStatic(192633.6361)+_xll.RiskMean(Model!F69,3)</f>
        <v>#NAME?</v>
      </c>
      <c r="CGU2">
        <f>Model!$G$78</f>
        <v>192918.16949999999</v>
      </c>
      <c r="CGV2" t="e">
        <f ca="1">RiskValStatic(192918.1695)+_xll.RiskMean(Model!G69,3)</f>
        <v>#NAME?</v>
      </c>
      <c r="CGW2">
        <f>Model!$H$78</f>
        <v>190663.13219999999</v>
      </c>
      <c r="CGX2" t="e">
        <f ca="1">RiskValStatic(190663.1322)+_xll.RiskMean(Model!H69,3)</f>
        <v>#NAME?</v>
      </c>
      <c r="CGY2">
        <f>Model!$I$78</f>
        <v>191367.6698</v>
      </c>
      <c r="CGZ2" t="e">
        <f ca="1">RiskValStatic(191367.6698)+_xll.RiskMean(Model!I69,3)</f>
        <v>#NAME?</v>
      </c>
      <c r="CHA2">
        <f>Model!$J$78</f>
        <v>189557.90210000001</v>
      </c>
      <c r="CHB2" t="e">
        <f ca="1">RiskValStatic(189557.9021)+_xll.RiskMean(Model!J69,3)</f>
        <v>#NAME?</v>
      </c>
      <c r="CHC2">
        <f>Model!$K$78</f>
        <v>188424.89199999999</v>
      </c>
      <c r="CHD2" t="e">
        <f ca="1">RiskValStatic(188424.892)+_xll.RiskMean(Model!K69,3)</f>
        <v>#NAME?</v>
      </c>
      <c r="CHE2">
        <f>Model!$L$78</f>
        <v>187865.72210000001</v>
      </c>
      <c r="CHF2" t="e">
        <f ca="1">RiskValStatic(187865.7221)+_xll.RiskMean(Model!L69,3)</f>
        <v>#NAME?</v>
      </c>
      <c r="CHG2">
        <f>Model!$M$78</f>
        <v>185511.7795</v>
      </c>
      <c r="CHH2" t="e">
        <f ca="1">RiskValStatic(185511.7795)+_xll.RiskMean(Model!M69,3)</f>
        <v>#NAME?</v>
      </c>
      <c r="CHI2">
        <f>Model!$N$78</f>
        <v>185547.26620000001</v>
      </c>
      <c r="CHJ2" t="e">
        <f ca="1">RiskValStatic(185547.2662)+_xll.RiskMean(Model!N69,3)</f>
        <v>#NAME?</v>
      </c>
      <c r="CHK2">
        <f>Model!$O$78</f>
        <v>183094.5534</v>
      </c>
      <c r="CHL2" t="e">
        <f ca="1">RiskValStatic(183094.5534)+_xll.RiskMean(Model!O69,3)</f>
        <v>#NAME?</v>
      </c>
      <c r="CHM2">
        <f>Model!$P$78</f>
        <v>182323.81959999999</v>
      </c>
      <c r="CHN2" t="e">
        <f ca="1">RiskValStatic(182323.8196)+_xll.RiskMean(Model!P69,3)</f>
        <v>#NAME?</v>
      </c>
      <c r="CHO2">
        <f>Model!$Q$78</f>
        <v>182888.40400000001</v>
      </c>
      <c r="CHP2" t="e">
        <f ca="1">RiskValStatic(182888.404)+_xll.RiskMean(Model!Q69,3)</f>
        <v>#NAME?</v>
      </c>
      <c r="CHQ2">
        <f>Model!$R$78</f>
        <v>178373.74489999999</v>
      </c>
      <c r="CHR2" t="e">
        <f ca="1">RiskValStatic(178373.7449)+_xll.RiskMean(Model!R69,3)</f>
        <v>#NAME?</v>
      </c>
      <c r="CHS2">
        <f>Model!$S$78</f>
        <v>179491.2824</v>
      </c>
      <c r="CHT2" t="e">
        <f ca="1">RiskValStatic(179491.2824)+_xll.RiskMean(Model!S69,3)</f>
        <v>#NAME?</v>
      </c>
      <c r="CHU2">
        <f>Model!$T$78</f>
        <v>182561.6109</v>
      </c>
      <c r="CHV2" t="e">
        <f ca="1">RiskValStatic(182561.6109)+_xll.RiskMean(Model!T69,3)</f>
        <v>#NAME?</v>
      </c>
      <c r="CHW2">
        <f>Model!$U$78</f>
        <v>182217.3621</v>
      </c>
      <c r="CHX2" t="e">
        <f ca="1">RiskValStatic(182217.3621)+_xll.RiskMean(Model!U69,3)</f>
        <v>#NAME?</v>
      </c>
      <c r="CHY2">
        <f>Model!$V$78</f>
        <v>181500.9301</v>
      </c>
      <c r="CHZ2" t="e">
        <f ca="1">RiskValStatic(181500.9301)+_xll.RiskMean(Model!V69,3)</f>
        <v>#NAME?</v>
      </c>
      <c r="CIA2">
        <f>Model!$W$78</f>
        <v>183049.31630000001</v>
      </c>
      <c r="CIB2" t="e">
        <f ca="1">RiskValStatic(183049.3163)+_xll.RiskMean(Model!W69,3)</f>
        <v>#NAME?</v>
      </c>
      <c r="CIC2">
        <f>Model!$X$78</f>
        <v>181831.13750000001</v>
      </c>
      <c r="CID2" t="e">
        <f ca="1">RiskValStatic(181831.1375)+_xll.RiskMean(Model!X69,3)</f>
        <v>#NAME?</v>
      </c>
      <c r="CIE2">
        <f>Model!$Y$78</f>
        <v>179815.96830000001</v>
      </c>
      <c r="CIF2" t="e">
        <f ca="1">RiskValStatic(179815.9683)+_xll.RiskMean(Model!Y69,3)</f>
        <v>#NAME?</v>
      </c>
      <c r="CIG2">
        <f>Model!$Z$78</f>
        <v>180281.6496</v>
      </c>
      <c r="CIH2" t="e">
        <f ca="1">RiskValStatic(180281.6496)+_xll.RiskMean(Model!Z69,3)</f>
        <v>#NAME?</v>
      </c>
      <c r="CII2">
        <f>Model!$AA$78</f>
        <v>178400.77710000001</v>
      </c>
      <c r="CIJ2" t="e">
        <f ca="1">RiskValStatic(178400.7771)+_xll.RiskMean(Model!AA69,3)</f>
        <v>#NAME?</v>
      </c>
      <c r="CIK2">
        <f>Model!$AB$78</f>
        <v>180512.63959999999</v>
      </c>
      <c r="CIL2" t="e">
        <f ca="1">RiskValStatic(180512.6396)+_xll.RiskMean(Model!AB69,3)</f>
        <v>#NAME?</v>
      </c>
      <c r="CIM2">
        <f>Model!$AC$78</f>
        <v>183398.9356</v>
      </c>
      <c r="CIN2" t="e">
        <f ca="1">RiskValStatic(183398.9356)+_xll.RiskMean(Model!AC69,3)</f>
        <v>#NAME?</v>
      </c>
      <c r="CIO2">
        <f>Model!$AD$78</f>
        <v>180189.02919999999</v>
      </c>
      <c r="CIP2" t="e">
        <f ca="1">RiskValStatic(180189.0292)+_xll.RiskMean(Model!AD69,3)</f>
        <v>#NAME?</v>
      </c>
      <c r="CIQ2">
        <f>Model!$AE$78</f>
        <v>182071.40109999999</v>
      </c>
      <c r="CIR2" t="e">
        <f ca="1">RiskValStatic(182071.4011)+_xll.RiskMean(Model!AE69,3)</f>
        <v>#NAME?</v>
      </c>
      <c r="CIS2">
        <f>Model!$B$79</f>
        <v>3668343.48</v>
      </c>
      <c r="CIT2" t="e">
        <f ca="1">RiskValStatic(3668343.48)+_xll.RiskMean(Model!B70,3)</f>
        <v>#NAME?</v>
      </c>
      <c r="CIU2">
        <f>Model!$C$79</f>
        <v>3580217.7370000002</v>
      </c>
      <c r="CIV2" t="e">
        <f ca="1">RiskValStatic(3580217.737)+_xll.RiskMean(Model!C70,3)</f>
        <v>#NAME?</v>
      </c>
      <c r="CIW2">
        <f>Model!$D$79</f>
        <v>3491475.67</v>
      </c>
      <c r="CIX2" t="e">
        <f ca="1">RiskValStatic(3491475.67)+_xll.RiskMean(Model!D70,3)</f>
        <v>#NAME?</v>
      </c>
      <c r="CIY2">
        <f>Model!$E$79</f>
        <v>3399028.6540000001</v>
      </c>
      <c r="CIZ2" t="e">
        <f ca="1">RiskValStatic(3399028.654)+_xll.RiskMean(Model!E70,3)</f>
        <v>#NAME?</v>
      </c>
      <c r="CJA2">
        <f>Model!$F$79</f>
        <v>3305961.307</v>
      </c>
      <c r="CJB2" t="e">
        <f ca="1">RiskValStatic(3305961.307)+_xll.RiskMean(Model!F70,3)</f>
        <v>#NAME?</v>
      </c>
      <c r="CJC2">
        <f>Model!$G$79</f>
        <v>3212506.51</v>
      </c>
      <c r="CJD2" t="e">
        <f ca="1">RiskValStatic(3212506.51)+_xll.RiskMean(Model!G70,3)</f>
        <v>#NAME?</v>
      </c>
      <c r="CJE2">
        <f>Model!$H$79</f>
        <v>3115963.5359999998</v>
      </c>
      <c r="CJF2" t="e">
        <f ca="1">RiskValStatic(3115963.536)+_xll.RiskMean(Model!H70,3)</f>
        <v>#NAME?</v>
      </c>
      <c r="CJG2">
        <f>Model!$I$79</f>
        <v>3018779.31</v>
      </c>
      <c r="CJH2" t="e">
        <f ca="1">RiskValStatic(3018779.31)+_xll.RiskMean(Model!I70,3)</f>
        <v>#NAME?</v>
      </c>
      <c r="CJI2">
        <f>Model!$J$79</f>
        <v>2917975.0189999999</v>
      </c>
      <c r="CJJ2" t="e">
        <f ca="1">RiskValStatic(2917975.019)+_xll.RiskMean(Model!J70,3)</f>
        <v>#NAME?</v>
      </c>
      <c r="CJK2">
        <f>Model!$K$79</f>
        <v>2815956.3679999998</v>
      </c>
      <c r="CJL2" t="e">
        <f ca="1">RiskValStatic(2815956.368)+_xll.RiskMean(Model!K70,3)</f>
        <v>#NAME?</v>
      </c>
      <c r="CJM2">
        <f>Model!$L$79</f>
        <v>2712010.1669999999</v>
      </c>
      <c r="CJN2" t="e">
        <f ca="1">RiskValStatic(2712010.167)+_xll.RiskMean(Model!L70,3)</f>
        <v>#NAME?</v>
      </c>
      <c r="CJO2">
        <f>Model!$M$79</f>
        <v>2605504.75</v>
      </c>
      <c r="CJP2" t="e">
        <f ca="1">RiskValStatic(2605504.75)+_xll.RiskMean(Model!M70,3)</f>
        <v>#NAME?</v>
      </c>
      <c r="CJQ2">
        <f>Model!$N$79</f>
        <v>2498158.1129999999</v>
      </c>
      <c r="CJR2" t="e">
        <f ca="1">RiskValStatic(2498158.113)+_xll.RiskMean(Model!N70,3)</f>
        <v>#NAME?</v>
      </c>
      <c r="CJS2">
        <f>Model!$O$79</f>
        <v>2387555.59</v>
      </c>
      <c r="CJT2" t="e">
        <f ca="1">RiskValStatic(2387555.59)+_xll.RiskMean(Model!O70,3)</f>
        <v>#NAME?</v>
      </c>
      <c r="CJU2">
        <f>Model!$P$79</f>
        <v>2276087.7039999999</v>
      </c>
      <c r="CJV2" t="e">
        <f ca="1">RiskValStatic(2276087.704)+_xll.RiskMean(Model!P70,3)</f>
        <v>#NAME?</v>
      </c>
      <c r="CJW2">
        <f>Model!$Q$79</f>
        <v>2162046.5159999998</v>
      </c>
      <c r="CJX2" t="e">
        <f ca="1">RiskValStatic(2162046.516)+_xll.RiskMean(Model!Q70,3)</f>
        <v>#NAME?</v>
      </c>
      <c r="CJY2">
        <f>Model!$R$79</f>
        <v>2044019.507</v>
      </c>
      <c r="CJZ2" t="e">
        <f ca="1">RiskValStatic(2044019.507)+_xll.RiskMean(Model!R70,3)</f>
        <v>#NAME?</v>
      </c>
      <c r="CKA2">
        <f>Model!$S$79</f>
        <v>1926966.348</v>
      </c>
      <c r="CKB2" t="e">
        <f ca="1">RiskValStatic(1926966.348)+_xll.RiskMean(Model!S70,3)</f>
        <v>#NAME?</v>
      </c>
      <c r="CKC2">
        <f>Model!$T$79</f>
        <v>1805284.0560000001</v>
      </c>
      <c r="CKD2" t="e">
        <f ca="1">RiskValStatic(1805284.056)+_xll.RiskMean(Model!T70,3)</f>
        <v>#NAME?</v>
      </c>
      <c r="CKE2">
        <f>Model!$U$79</f>
        <v>1676880.966</v>
      </c>
      <c r="CKF2" t="e">
        <f ca="1">RiskValStatic(1676880.966)+_xll.RiskMean(Model!U70,3)</f>
        <v>#NAME?</v>
      </c>
      <c r="CKG2">
        <f>Model!$V$79</f>
        <v>1544970.0330000001</v>
      </c>
      <c r="CKH2" t="e">
        <f ca="1">RiskValStatic(1544970.033)+_xll.RiskMean(Model!V70,3)</f>
        <v>#NAME?</v>
      </c>
      <c r="CKI2">
        <f>Model!$W$79</f>
        <v>1409818.2039999999</v>
      </c>
      <c r="CKJ2" t="e">
        <f ca="1">RiskValStatic(1409818.204)+_xll.RiskMean(Model!W70,3)</f>
        <v>#NAME?</v>
      </c>
      <c r="CKK2">
        <f>Model!$X$79</f>
        <v>1269063.4339999999</v>
      </c>
      <c r="CKL2" t="e">
        <f ca="1">RiskValStatic(1269063.434)+_xll.RiskMean(Model!X70,3)</f>
        <v>#NAME?</v>
      </c>
      <c r="CKM2">
        <f>Model!$Y$79</f>
        <v>1125304.2</v>
      </c>
      <c r="CKN2" t="e">
        <f ca="1">RiskValStatic(1125304.2)+_xll.RiskMean(Model!Y70,3)</f>
        <v>#NAME?</v>
      </c>
      <c r="CKO2">
        <f>Model!$Z$79</f>
        <v>979247.35730000003</v>
      </c>
      <c r="CKP2" t="e">
        <f ca="1">RiskValStatic(979247.3573)+_xll.RiskMean(Model!Z70,3)</f>
        <v>#NAME?</v>
      </c>
      <c r="CKQ2">
        <f>Model!$AA$79</f>
        <v>828343.12840000005</v>
      </c>
      <c r="CKR2" t="e">
        <f ca="1">RiskValStatic(828343.1284)+_xll.RiskMean(Model!AA70,3)</f>
        <v>#NAME?</v>
      </c>
      <c r="CKS2">
        <f>Model!$AB$79</f>
        <v>674792.64520000003</v>
      </c>
      <c r="CKT2" t="e">
        <f ca="1">RiskValStatic(674792.6452)+_xll.RiskMean(Model!AB70,3)</f>
        <v>#NAME?</v>
      </c>
      <c r="CKU2">
        <f>Model!$AC$79</f>
        <v>514523.78490000003</v>
      </c>
      <c r="CKV2" t="e">
        <f ca="1">RiskValStatic(514523.7849)+_xll.RiskMean(Model!AC70,3)</f>
        <v>#NAME?</v>
      </c>
      <c r="CKW2">
        <f>Model!$AD$79</f>
        <v>346560.56280000001</v>
      </c>
      <c r="CKX2" t="e">
        <f ca="1">RiskValStatic(346560.5628)+_xll.RiskMean(Model!AD70,3)</f>
        <v>#NAME?</v>
      </c>
      <c r="CKY2">
        <f>Model!$AE$79</f>
        <v>176768.35060000001</v>
      </c>
      <c r="CKZ2" t="e">
        <f ca="1">RiskValStatic(176768.3506)+_xll.RiskMean(Model!AE70,3)</f>
        <v>#NAME?</v>
      </c>
      <c r="CLA2" s="7">
        <f>Model!$B$82</f>
        <v>0.3</v>
      </c>
      <c r="CLB2" t="e">
        <f ca="1">RiskValStatic(0.3)+_xll.RiskSimtable(RiskSimTable_Inputs!B3:B5)</f>
        <v>#NAME?</v>
      </c>
      <c r="CLC2" s="7">
        <f>Model!$C$82</f>
        <v>0.3</v>
      </c>
      <c r="CLD2" t="e">
        <f ca="1">RiskValStatic(0.3)+_xll.RiskSimtable(RiskSimTable_Inputs!C3:C5)</f>
        <v>#NAME?</v>
      </c>
      <c r="CLE2" s="7">
        <f>Model!$D$82</f>
        <v>0.3</v>
      </c>
      <c r="CLF2" t="e">
        <f ca="1">RiskValStatic(0.3)+_xll.RiskSimtable(RiskSimTable_Inputs!D3:D5)</f>
        <v>#NAME?</v>
      </c>
      <c r="CLG2" s="7">
        <f>Model!$E$82</f>
        <v>0.3</v>
      </c>
      <c r="CLH2" t="e">
        <f ca="1">RiskValStatic(0.3)+_xll.RiskSimtable(RiskSimTable_Inputs!E3:E5)</f>
        <v>#NAME?</v>
      </c>
      <c r="CLI2" s="7">
        <f>Model!$F$82</f>
        <v>0.3</v>
      </c>
      <c r="CLJ2" t="e">
        <f ca="1">RiskValStatic(0.3)+_xll.RiskSimtable(RiskSimTable_Inputs!F3:F5)</f>
        <v>#NAME?</v>
      </c>
      <c r="CLK2" s="7">
        <f>Model!$G$82</f>
        <v>0.3</v>
      </c>
      <c r="CLL2" t="e">
        <f ca="1">RiskValStatic(0.3)+_xll.RiskSimtable(RiskSimTable_Inputs!G3:G5)</f>
        <v>#NAME?</v>
      </c>
      <c r="CLM2" s="7">
        <f>Model!$H$82</f>
        <v>0.3</v>
      </c>
      <c r="CLN2" t="e">
        <f ca="1">RiskValStatic(0.3)+_xll.RiskSimtable(RiskSimTable_Inputs!H3:H5)</f>
        <v>#NAME?</v>
      </c>
      <c r="CLO2" s="7">
        <f>Model!$I$82</f>
        <v>0.3</v>
      </c>
      <c r="CLP2" t="e">
        <f ca="1">RiskValStatic(0.3)+_xll.RiskSimtable(RiskSimTable_Inputs!I3:I5)</f>
        <v>#NAME?</v>
      </c>
      <c r="CLQ2" s="7">
        <f>Model!$J$82</f>
        <v>0.3</v>
      </c>
      <c r="CLR2" t="e">
        <f ca="1">RiskValStatic(0.3)+_xll.RiskSimtable(RiskSimTable_Inputs!J3:J5)</f>
        <v>#NAME?</v>
      </c>
      <c r="CLS2" s="7">
        <f>Model!$K$82</f>
        <v>0.3</v>
      </c>
      <c r="CLT2" t="e">
        <f ca="1">RiskValStatic(0.3)+_xll.RiskSimtable(RiskSimTable_Inputs!K3:K5)</f>
        <v>#NAME?</v>
      </c>
      <c r="CLU2" s="7">
        <f>Model!$L$82</f>
        <v>0.3</v>
      </c>
      <c r="CLV2" t="e">
        <f ca="1">RiskValStatic(0.3)+_xll.RiskSimtable(RiskSimTable_Inputs!L3:L5)</f>
        <v>#NAME?</v>
      </c>
      <c r="CLW2" s="7">
        <f>Model!$M$82</f>
        <v>0.3</v>
      </c>
      <c r="CLX2" t="e">
        <f ca="1">RiskValStatic(0.3)+_xll.RiskSimtable(RiskSimTable_Inputs!M3:M5)</f>
        <v>#NAME?</v>
      </c>
      <c r="CLY2" s="7">
        <f>Model!$N$82</f>
        <v>0.3</v>
      </c>
      <c r="CLZ2" t="e">
        <f ca="1">RiskValStatic(0.3)+_xll.RiskSimtable(RiskSimTable_Inputs!N3:N5)</f>
        <v>#NAME?</v>
      </c>
      <c r="CMA2" s="7">
        <f>Model!$O$82</f>
        <v>0.3</v>
      </c>
      <c r="CMB2" t="e">
        <f ca="1">RiskValStatic(0.3)+_xll.RiskSimtable(RiskSimTable_Inputs!O3:O5)</f>
        <v>#NAME?</v>
      </c>
      <c r="CMC2" s="7">
        <f>Model!$P$82</f>
        <v>0.3</v>
      </c>
      <c r="CMD2" t="e">
        <f ca="1">RiskValStatic(0.3)+_xll.RiskSimtable(RiskSimTable_Inputs!P3:P5)</f>
        <v>#NAME?</v>
      </c>
      <c r="CME2" s="7">
        <f>Model!$Q$82</f>
        <v>0.3</v>
      </c>
      <c r="CMF2" t="e">
        <f ca="1">RiskValStatic(0.3)+_xll.RiskSimtable(RiskSimTable_Inputs!Q3:Q5)</f>
        <v>#NAME?</v>
      </c>
      <c r="CMG2" s="7">
        <f>Model!$R$82</f>
        <v>0.3</v>
      </c>
      <c r="CMH2" t="e">
        <f ca="1">RiskValStatic(0.3)+_xll.RiskSimtable(RiskSimTable_Inputs!R3:R5)</f>
        <v>#NAME?</v>
      </c>
      <c r="CMI2" s="7">
        <f>Model!$S$82</f>
        <v>0.3</v>
      </c>
      <c r="CMJ2" t="e">
        <f ca="1">RiskValStatic(0.3)+_xll.RiskSimtable(RiskSimTable_Inputs!S3:S5)</f>
        <v>#NAME?</v>
      </c>
      <c r="CMK2" s="7">
        <f>Model!$T$82</f>
        <v>0.3</v>
      </c>
      <c r="CML2" t="e">
        <f ca="1">RiskValStatic(0.3)+_xll.RiskSimtable(RiskSimTable_Inputs!T3:T5)</f>
        <v>#NAME?</v>
      </c>
      <c r="CMM2" s="7">
        <f>Model!$U$82</f>
        <v>0.3</v>
      </c>
      <c r="CMN2" t="e">
        <f ca="1">RiskValStatic(0.3)+_xll.RiskSimtable(RiskSimTable_Inputs!U3:U5)</f>
        <v>#NAME?</v>
      </c>
      <c r="CMO2" s="7">
        <f>Model!$V$82</f>
        <v>0.3</v>
      </c>
      <c r="CMP2" t="e">
        <f ca="1">RiskValStatic(0.3)+_xll.RiskSimtable(RiskSimTable_Inputs!V3:V5)</f>
        <v>#NAME?</v>
      </c>
      <c r="CMQ2" s="7">
        <f>Model!$W$82</f>
        <v>0.3</v>
      </c>
      <c r="CMR2" t="e">
        <f ca="1">RiskValStatic(0.3)+_xll.RiskSimtable(RiskSimTable_Inputs!W3:W5)</f>
        <v>#NAME?</v>
      </c>
      <c r="CMS2" s="7">
        <f>Model!$X$82</f>
        <v>0.3</v>
      </c>
      <c r="CMT2" t="e">
        <f ca="1">RiskValStatic(0.3)+_xll.RiskSimtable(RiskSimTable_Inputs!X3:X5)</f>
        <v>#NAME?</v>
      </c>
      <c r="CMU2" s="7">
        <f>Model!$Y$82</f>
        <v>0.3</v>
      </c>
      <c r="CMV2" t="e">
        <f ca="1">RiskValStatic(0.3)+_xll.RiskSimtable(RiskSimTable_Inputs!Y3:Y5)</f>
        <v>#NAME?</v>
      </c>
      <c r="CMW2" s="7">
        <f>Model!$Z$82</f>
        <v>0.3</v>
      </c>
      <c r="CMX2" t="e">
        <f ca="1">RiskValStatic(0.3)+_xll.RiskSimtable(RiskSimTable_Inputs!Z3:Z5)</f>
        <v>#NAME?</v>
      </c>
      <c r="CMY2" s="7">
        <f>Model!$AA$82</f>
        <v>0.3</v>
      </c>
      <c r="CMZ2" t="e">
        <f ca="1">RiskValStatic(0.3)+_xll.RiskSimtable(RiskSimTable_Inputs!AA3:AA5)</f>
        <v>#NAME?</v>
      </c>
      <c r="CNA2" s="7">
        <f>Model!$AB$82</f>
        <v>0.3</v>
      </c>
      <c r="CNB2" t="e">
        <f ca="1">RiskValStatic(0.3)+_xll.RiskSimtable(RiskSimTable_Inputs!AB3:AB5)</f>
        <v>#NAME?</v>
      </c>
      <c r="CNC2" s="7">
        <f>Model!$AC$82</f>
        <v>0.3</v>
      </c>
      <c r="CND2" t="e">
        <f ca="1">RiskValStatic(0.3)+_xll.RiskSimtable(RiskSimTable_Inputs!AC3:AC5)</f>
        <v>#NAME?</v>
      </c>
      <c r="CNE2" s="7">
        <f>Model!$AD$82</f>
        <v>0.3</v>
      </c>
      <c r="CNF2" t="e">
        <f ca="1">RiskValStatic(0.3)+_xll.RiskSimtable(RiskSimTable_Inputs!AD3:AD5)</f>
        <v>#NAME?</v>
      </c>
      <c r="CNG2">
        <f>Model!$B$83</f>
        <v>0</v>
      </c>
      <c r="CNH2" t="e">
        <f ca="1">RiskValStatic(0)+_xll.RiskBinomial(1,Model!B82)</f>
        <v>#NAME?</v>
      </c>
      <c r="CNI2">
        <f>Model!$C$83</f>
        <v>0</v>
      </c>
      <c r="CNJ2" t="e">
        <f ca="1">RiskValStatic(0)+_xll.RiskBinomial(1,Model!C82)</f>
        <v>#NAME?</v>
      </c>
      <c r="CNK2">
        <f>Model!$D$83</f>
        <v>0</v>
      </c>
      <c r="CNL2" t="e">
        <f ca="1">RiskValStatic(0)+_xll.RiskBinomial(1,Model!D82)</f>
        <v>#NAME?</v>
      </c>
      <c r="CNM2">
        <f>Model!$E$83</f>
        <v>0</v>
      </c>
      <c r="CNN2" t="e">
        <f ca="1">RiskValStatic(0)+_xll.RiskBinomial(1,Model!E82)</f>
        <v>#NAME?</v>
      </c>
      <c r="CNO2">
        <f>Model!$F$83</f>
        <v>0</v>
      </c>
      <c r="CNP2" t="e">
        <f ca="1">RiskValStatic(0)+_xll.RiskBinomial(1,Model!F82)</f>
        <v>#NAME?</v>
      </c>
      <c r="CNQ2">
        <f>Model!$G$83</f>
        <v>0</v>
      </c>
      <c r="CNR2" t="e">
        <f ca="1">RiskValStatic(0)+_xll.RiskBinomial(1,Model!G82)</f>
        <v>#NAME?</v>
      </c>
      <c r="CNS2">
        <f>Model!$H$83</f>
        <v>0</v>
      </c>
      <c r="CNT2" t="e">
        <f ca="1">RiskValStatic(0)+_xll.RiskBinomial(1,Model!H82)</f>
        <v>#NAME?</v>
      </c>
      <c r="CNU2">
        <f>Model!$I$83</f>
        <v>0</v>
      </c>
      <c r="CNV2" t="e">
        <f ca="1">RiskValStatic(0)+_xll.RiskBinomial(1,Model!I82)</f>
        <v>#NAME?</v>
      </c>
      <c r="CNW2">
        <f>Model!$J$83</f>
        <v>0</v>
      </c>
      <c r="CNX2" t="e">
        <f ca="1">RiskValStatic(0)+_xll.RiskBinomial(1,Model!J82)</f>
        <v>#NAME?</v>
      </c>
      <c r="CNY2">
        <f>Model!$K$83</f>
        <v>0</v>
      </c>
      <c r="CNZ2" t="e">
        <f ca="1">RiskValStatic(0)+_xll.RiskBinomial(1,Model!K82)</f>
        <v>#NAME?</v>
      </c>
      <c r="COA2">
        <f>Model!$L$83</f>
        <v>0</v>
      </c>
      <c r="COB2" t="e">
        <f ca="1">RiskValStatic(0)+_xll.RiskBinomial(1,Model!L82)</f>
        <v>#NAME?</v>
      </c>
      <c r="COC2">
        <f>Model!$M$83</f>
        <v>0</v>
      </c>
      <c r="COD2" t="e">
        <f ca="1">RiskValStatic(0)+_xll.RiskBinomial(1,Model!M82)</f>
        <v>#NAME?</v>
      </c>
      <c r="COE2">
        <f>Model!$N$83</f>
        <v>0</v>
      </c>
      <c r="COF2" t="e">
        <f ca="1">RiskValStatic(0)+_xll.RiskBinomial(1,Model!N82)</f>
        <v>#NAME?</v>
      </c>
      <c r="COG2">
        <f>Model!$O$83</f>
        <v>0</v>
      </c>
      <c r="COH2" t="e">
        <f ca="1">RiskValStatic(0)+_xll.RiskBinomial(1,Model!O82)</f>
        <v>#NAME?</v>
      </c>
      <c r="COI2">
        <f>Model!$P$83</f>
        <v>0</v>
      </c>
      <c r="COJ2" t="e">
        <f ca="1">RiskValStatic(0)+_xll.RiskBinomial(1,Model!P82)</f>
        <v>#NAME?</v>
      </c>
      <c r="COK2">
        <f>Model!$Q$83</f>
        <v>0</v>
      </c>
      <c r="COL2" t="e">
        <f ca="1">RiskValStatic(0)+_xll.RiskBinomial(1,Model!Q82)</f>
        <v>#NAME?</v>
      </c>
      <c r="COM2">
        <f>Model!$R$83</f>
        <v>0</v>
      </c>
      <c r="CON2" t="e">
        <f ca="1">RiskValStatic(0)+_xll.RiskBinomial(1,Model!R82)</f>
        <v>#NAME?</v>
      </c>
      <c r="COO2">
        <f>Model!$S$83</f>
        <v>0</v>
      </c>
      <c r="COP2" t="e">
        <f ca="1">RiskValStatic(0)+_xll.RiskBinomial(1,Model!S82)</f>
        <v>#NAME?</v>
      </c>
      <c r="COQ2">
        <f>Model!$T$83</f>
        <v>0</v>
      </c>
      <c r="COR2" t="e">
        <f ca="1">RiskValStatic(0)+_xll.RiskBinomial(1,Model!T82)</f>
        <v>#NAME?</v>
      </c>
      <c r="COS2">
        <f>Model!$U$83</f>
        <v>0</v>
      </c>
      <c r="COT2" t="e">
        <f ca="1">RiskValStatic(0)+_xll.RiskBinomial(1,Model!U82)</f>
        <v>#NAME?</v>
      </c>
      <c r="COU2">
        <f>Model!$V$83</f>
        <v>0</v>
      </c>
      <c r="COV2" t="e">
        <f ca="1">RiskValStatic(0)+_xll.RiskBinomial(1,Model!V82)</f>
        <v>#NAME?</v>
      </c>
      <c r="COW2">
        <f>Model!$W$83</f>
        <v>0</v>
      </c>
      <c r="COX2" t="e">
        <f ca="1">RiskValStatic(0)+_xll.RiskBinomial(1,Model!W82)</f>
        <v>#NAME?</v>
      </c>
      <c r="COY2">
        <f>Model!$X$83</f>
        <v>0</v>
      </c>
      <c r="COZ2" t="e">
        <f ca="1">RiskValStatic(0)+_xll.RiskBinomial(1,Model!X82)</f>
        <v>#NAME?</v>
      </c>
      <c r="CPA2">
        <f>Model!$Y$83</f>
        <v>0</v>
      </c>
      <c r="CPB2" t="e">
        <f ca="1">RiskValStatic(0)+_xll.RiskBinomial(1,Model!Y82)</f>
        <v>#NAME?</v>
      </c>
      <c r="CPC2">
        <f>Model!$Z$83</f>
        <v>0</v>
      </c>
      <c r="CPD2" t="e">
        <f ca="1">RiskValStatic(0)+_xll.RiskBinomial(1,Model!Z82)</f>
        <v>#NAME?</v>
      </c>
      <c r="CPE2">
        <f>Model!$AA$83</f>
        <v>0</v>
      </c>
      <c r="CPF2" t="e">
        <f ca="1">RiskValStatic(0)+_xll.RiskBinomial(1,Model!AA82)</f>
        <v>#NAME?</v>
      </c>
      <c r="CPG2">
        <f>Model!$AB$83</f>
        <v>0</v>
      </c>
      <c r="CPH2" t="e">
        <f ca="1">RiskValStatic(0)+_xll.RiskBinomial(1,Model!AB82)</f>
        <v>#NAME?</v>
      </c>
      <c r="CPI2">
        <f>Model!$AC$83</f>
        <v>0</v>
      </c>
      <c r="CPJ2" t="e">
        <f ca="1">RiskValStatic(0)+_xll.RiskBinomial(1,Model!AC82)</f>
        <v>#NAME?</v>
      </c>
      <c r="CPK2">
        <f>Model!$AD$83</f>
        <v>0</v>
      </c>
      <c r="CPL2" t="e">
        <f ca="1">RiskValStatic(0)+_xll.RiskBinomial(1,Model!AD82)</f>
        <v>#NAME?</v>
      </c>
      <c r="CPM2">
        <f>Model!$AE$83</f>
        <v>0</v>
      </c>
      <c r="CPN2" t="e">
        <f ca="1">RiskValStatic(0)+_xll.RiskBinomial(1,Model!AE82)</f>
        <v>#NAME?</v>
      </c>
      <c r="CPO2">
        <f>Model!$B$84</f>
        <v>0.05</v>
      </c>
      <c r="CPP2" t="e">
        <f ca="1">RiskValStatic(0.05)+_xll.RiskSimtable(RiskSimTable_Inputs!B7:B9)</f>
        <v>#NAME?</v>
      </c>
      <c r="CPQ2">
        <f>Model!$C$84</f>
        <v>0.05</v>
      </c>
      <c r="CPR2" t="e">
        <f ca="1">RiskValStatic(0.05)+_xll.RiskSimtable(RiskSimTable_Inputs!C7:C9)</f>
        <v>#NAME?</v>
      </c>
      <c r="CPS2">
        <f>Model!$D$84</f>
        <v>0.05</v>
      </c>
      <c r="CPT2" t="e">
        <f ca="1">RiskValStatic(0.05)+_xll.RiskSimtable(RiskSimTable_Inputs!D7:D9)</f>
        <v>#NAME?</v>
      </c>
      <c r="CPU2">
        <f>Model!$E$84</f>
        <v>0.05</v>
      </c>
      <c r="CPV2" t="e">
        <f ca="1">RiskValStatic(0.05)+_xll.RiskSimtable(RiskSimTable_Inputs!E7:E9)</f>
        <v>#NAME?</v>
      </c>
      <c r="CPW2">
        <f>Model!$F$84</f>
        <v>0.05</v>
      </c>
      <c r="CPX2" t="e">
        <f ca="1">RiskValStatic(0.05)+_xll.RiskSimtable(RiskSimTable_Inputs!F7:F9)</f>
        <v>#NAME?</v>
      </c>
      <c r="CPY2">
        <f>Model!$G$84</f>
        <v>0.05</v>
      </c>
      <c r="CPZ2" t="e">
        <f ca="1">RiskValStatic(0.05)+_xll.RiskSimtable(RiskSimTable_Inputs!G7:G9)</f>
        <v>#NAME?</v>
      </c>
      <c r="CQA2">
        <f>Model!$H$84</f>
        <v>0.05</v>
      </c>
      <c r="CQB2" t="e">
        <f ca="1">RiskValStatic(0.05)+_xll.RiskSimtable(RiskSimTable_Inputs!H7:H9)</f>
        <v>#NAME?</v>
      </c>
      <c r="CQC2">
        <f>Model!$I$84</f>
        <v>0.05</v>
      </c>
      <c r="CQD2" t="e">
        <f ca="1">RiskValStatic(0.05)+_xll.RiskSimtable(RiskSimTable_Inputs!I7:I9)</f>
        <v>#NAME?</v>
      </c>
      <c r="CQE2">
        <f>Model!$J$84</f>
        <v>0.05</v>
      </c>
      <c r="CQF2" t="e">
        <f ca="1">RiskValStatic(0.05)+_xll.RiskSimtable(RiskSimTable_Inputs!J7:J9)</f>
        <v>#NAME?</v>
      </c>
      <c r="CQG2">
        <f>Model!$K$84</f>
        <v>0.05</v>
      </c>
      <c r="CQH2" t="e">
        <f ca="1">RiskValStatic(0.05)+_xll.RiskSimtable(RiskSimTable_Inputs!K7:K9)</f>
        <v>#NAME?</v>
      </c>
      <c r="CQI2">
        <f>Model!$L$84</f>
        <v>0.05</v>
      </c>
      <c r="CQJ2" t="e">
        <f ca="1">RiskValStatic(0.05)+_xll.RiskSimtable(RiskSimTable_Inputs!L7:L9)</f>
        <v>#NAME?</v>
      </c>
      <c r="CQK2">
        <f>Model!$M$84</f>
        <v>0.05</v>
      </c>
      <c r="CQL2" t="e">
        <f ca="1">RiskValStatic(0.05)+_xll.RiskSimtable(RiskSimTable_Inputs!M7:M9)</f>
        <v>#NAME?</v>
      </c>
      <c r="CQM2">
        <f>Model!$N$84</f>
        <v>0.05</v>
      </c>
      <c r="CQN2" t="e">
        <f ca="1">RiskValStatic(0.05)+_xll.RiskSimtable(RiskSimTable_Inputs!N7:N9)</f>
        <v>#NAME?</v>
      </c>
      <c r="CQO2">
        <f>Model!$O$84</f>
        <v>0.05</v>
      </c>
      <c r="CQP2" t="e">
        <f ca="1">RiskValStatic(0.05)+_xll.RiskSimtable(RiskSimTable_Inputs!O7:O9)</f>
        <v>#NAME?</v>
      </c>
      <c r="CQQ2">
        <f>Model!$P$84</f>
        <v>0.05</v>
      </c>
      <c r="CQR2" t="e">
        <f ca="1">RiskValStatic(0.05)+_xll.RiskSimtable(RiskSimTable_Inputs!P7:P9)</f>
        <v>#NAME?</v>
      </c>
      <c r="CQS2">
        <f>Model!$Q$84</f>
        <v>0.05</v>
      </c>
      <c r="CQT2" t="e">
        <f ca="1">RiskValStatic(0.05)+_xll.RiskSimtable(RiskSimTable_Inputs!Q7:Q9)</f>
        <v>#NAME?</v>
      </c>
      <c r="CQU2">
        <f>Model!$R$84</f>
        <v>0.05</v>
      </c>
      <c r="CQV2" t="e">
        <f ca="1">RiskValStatic(0.05)+_xll.RiskSimtable(RiskSimTable_Inputs!R7:R9)</f>
        <v>#NAME?</v>
      </c>
      <c r="CQW2">
        <f>Model!$S$84</f>
        <v>0.05</v>
      </c>
      <c r="CQX2" t="e">
        <f ca="1">RiskValStatic(0.05)+_xll.RiskSimtable(RiskSimTable_Inputs!S7:S9)</f>
        <v>#NAME?</v>
      </c>
      <c r="CQY2">
        <f>Model!$T$84</f>
        <v>0.05</v>
      </c>
      <c r="CQZ2" t="e">
        <f ca="1">RiskValStatic(0.05)+_xll.RiskSimtable(RiskSimTable_Inputs!T7:T9)</f>
        <v>#NAME?</v>
      </c>
      <c r="CRA2">
        <f>Model!$U$84</f>
        <v>0.05</v>
      </c>
      <c r="CRB2" t="e">
        <f ca="1">RiskValStatic(0.05)+_xll.RiskSimtable(RiskSimTable_Inputs!U7:U9)</f>
        <v>#NAME?</v>
      </c>
      <c r="CRC2">
        <f>Model!$V$84</f>
        <v>0.05</v>
      </c>
      <c r="CRD2" t="e">
        <f ca="1">RiskValStatic(0.05)+_xll.RiskSimtable(RiskSimTable_Inputs!V7:V9)</f>
        <v>#NAME?</v>
      </c>
      <c r="CRE2">
        <f>Model!$W$84</f>
        <v>0.05</v>
      </c>
      <c r="CRF2" t="e">
        <f ca="1">RiskValStatic(0.05)+_xll.RiskSimtable(RiskSimTable_Inputs!W7:W9)</f>
        <v>#NAME?</v>
      </c>
      <c r="CRG2">
        <f>Model!$X$84</f>
        <v>0.05</v>
      </c>
      <c r="CRH2" t="e">
        <f ca="1">RiskValStatic(0.05)+_xll.RiskSimtable(RiskSimTable_Inputs!X7:X9)</f>
        <v>#NAME?</v>
      </c>
      <c r="CRI2">
        <f>Model!$Y$84</f>
        <v>0.05</v>
      </c>
      <c r="CRJ2" t="e">
        <f ca="1">RiskValStatic(0.05)+_xll.RiskSimtable(RiskSimTable_Inputs!Y7:Y9)</f>
        <v>#NAME?</v>
      </c>
      <c r="CRK2">
        <f>Model!$Z$84</f>
        <v>0.05</v>
      </c>
      <c r="CRL2" t="e">
        <f ca="1">RiskValStatic(0.05)+_xll.RiskSimtable(RiskSimTable_Inputs!Z7:Z9)</f>
        <v>#NAME?</v>
      </c>
      <c r="CRM2">
        <f>Model!$AA$84</f>
        <v>0.05</v>
      </c>
      <c r="CRN2" t="e">
        <f ca="1">RiskValStatic(0.05)+_xll.RiskSimtable(RiskSimTable_Inputs!AA7:AA9)</f>
        <v>#NAME?</v>
      </c>
      <c r="CRO2">
        <f>Model!$AB$84</f>
        <v>0.05</v>
      </c>
      <c r="CRP2" t="e">
        <f ca="1">RiskValStatic(0.05)+_xll.RiskSimtable(RiskSimTable_Inputs!AB7:AB9)</f>
        <v>#NAME?</v>
      </c>
      <c r="CRQ2">
        <f>Model!$AC$84</f>
        <v>0.05</v>
      </c>
      <c r="CRR2" t="e">
        <f ca="1">RiskValStatic(0.05)+_xll.RiskSimtable(RiskSimTable_Inputs!AC7:AC9)</f>
        <v>#NAME?</v>
      </c>
      <c r="CRS2">
        <f>Model!$AD$84</f>
        <v>0.05</v>
      </c>
      <c r="CRT2" t="e">
        <f ca="1">RiskValStatic(0.05)+_xll.RiskSimtable(RiskSimTable_Inputs!AD7:AD9)</f>
        <v>#NAME?</v>
      </c>
      <c r="CRU2">
        <f>Model!$AE$84</f>
        <v>0.05</v>
      </c>
      <c r="CRV2" t="e">
        <f ca="1">RiskValStatic(0.05)+_xll.RiskSimtable(RiskSimTable_Inputs!AE7:AE9)</f>
        <v>#NAME?</v>
      </c>
      <c r="CRW2">
        <f>Model!$B$85</f>
        <v>0</v>
      </c>
      <c r="CRX2" t="e">
        <f ca="1">RiskValStatic(0)+_xll.RiskBinomial(1,Model!B84)</f>
        <v>#NAME?</v>
      </c>
      <c r="CRY2">
        <f>Model!$C$85</f>
        <v>0</v>
      </c>
      <c r="CRZ2" t="e">
        <f ca="1">RiskValStatic(0)+_xll.RiskBinomial(1,Model!C84)</f>
        <v>#NAME?</v>
      </c>
      <c r="CSA2">
        <f>Model!$D$85</f>
        <v>0</v>
      </c>
      <c r="CSB2" t="e">
        <f ca="1">RiskValStatic(0)+_xll.RiskBinomial(1,Model!D84)</f>
        <v>#NAME?</v>
      </c>
      <c r="CSC2">
        <f>Model!$E$85</f>
        <v>0</v>
      </c>
      <c r="CSD2" t="e">
        <f ca="1">RiskValStatic(0)+_xll.RiskBinomial(1,Model!E84)</f>
        <v>#NAME?</v>
      </c>
      <c r="CSE2">
        <f>Model!$F$85</f>
        <v>0</v>
      </c>
      <c r="CSF2" t="e">
        <f ca="1">RiskValStatic(0)+_xll.RiskBinomial(1,Model!F84)</f>
        <v>#NAME?</v>
      </c>
      <c r="CSG2">
        <f>Model!$G$85</f>
        <v>0</v>
      </c>
      <c r="CSH2" t="e">
        <f ca="1">RiskValStatic(0)+_xll.RiskBinomial(1,Model!G84)</f>
        <v>#NAME?</v>
      </c>
      <c r="CSI2">
        <f>Model!$H$85</f>
        <v>0</v>
      </c>
      <c r="CSJ2" t="e">
        <f ca="1">RiskValStatic(0)+_xll.RiskBinomial(1,Model!H84)</f>
        <v>#NAME?</v>
      </c>
      <c r="CSK2">
        <f>Model!$I$85</f>
        <v>0</v>
      </c>
      <c r="CSL2" t="e">
        <f ca="1">RiskValStatic(0)+_xll.RiskBinomial(1,Model!I84)</f>
        <v>#NAME?</v>
      </c>
      <c r="CSM2">
        <f>Model!$J$85</f>
        <v>0</v>
      </c>
      <c r="CSN2" t="e">
        <f ca="1">RiskValStatic(0)+_xll.RiskBinomial(1,Model!J84)</f>
        <v>#NAME?</v>
      </c>
      <c r="CSO2">
        <f>Model!$K$85</f>
        <v>0</v>
      </c>
      <c r="CSP2" t="e">
        <f ca="1">RiskValStatic(0)+_xll.RiskBinomial(1,Model!K84)</f>
        <v>#NAME?</v>
      </c>
      <c r="CSQ2">
        <f>Model!$L$85</f>
        <v>0</v>
      </c>
      <c r="CSR2" t="e">
        <f ca="1">RiskValStatic(0)+_xll.RiskBinomial(1,Model!L84)</f>
        <v>#NAME?</v>
      </c>
      <c r="CSS2">
        <f>Model!$M$85</f>
        <v>0</v>
      </c>
      <c r="CST2" t="e">
        <f ca="1">RiskValStatic(0)+_xll.RiskBinomial(1,Model!M84)</f>
        <v>#NAME?</v>
      </c>
      <c r="CSU2">
        <f>Model!$N$85</f>
        <v>0</v>
      </c>
      <c r="CSV2" t="e">
        <f ca="1">RiskValStatic(0)+_xll.RiskBinomial(1,Model!N84)</f>
        <v>#NAME?</v>
      </c>
      <c r="CSW2">
        <f>Model!$O$85</f>
        <v>0</v>
      </c>
      <c r="CSX2" t="e">
        <f ca="1">RiskValStatic(0)+_xll.RiskBinomial(1,Model!O84)</f>
        <v>#NAME?</v>
      </c>
      <c r="CSY2">
        <f>Model!$P$85</f>
        <v>0</v>
      </c>
      <c r="CSZ2" t="e">
        <f ca="1">RiskValStatic(0)+_xll.RiskBinomial(1,Model!P84)</f>
        <v>#NAME?</v>
      </c>
      <c r="CTA2">
        <f>Model!$Q$85</f>
        <v>0</v>
      </c>
      <c r="CTB2" t="e">
        <f ca="1">RiskValStatic(0)+_xll.RiskBinomial(1,Model!Q84)</f>
        <v>#NAME?</v>
      </c>
      <c r="CTC2">
        <f>Model!$R$85</f>
        <v>0</v>
      </c>
      <c r="CTD2" t="e">
        <f ca="1">RiskValStatic(0)+_xll.RiskBinomial(1,Model!R84)</f>
        <v>#NAME?</v>
      </c>
      <c r="CTE2">
        <f>Model!$S$85</f>
        <v>0</v>
      </c>
      <c r="CTF2" t="e">
        <f ca="1">RiskValStatic(0)+_xll.RiskBinomial(1,Model!S84)</f>
        <v>#NAME?</v>
      </c>
      <c r="CTG2">
        <f>Model!$T$85</f>
        <v>0</v>
      </c>
      <c r="CTH2" t="e">
        <f ca="1">RiskValStatic(0)+_xll.RiskBinomial(1,Model!T84)</f>
        <v>#NAME?</v>
      </c>
      <c r="CTI2">
        <f>Model!$U$85</f>
        <v>0</v>
      </c>
      <c r="CTJ2" t="e">
        <f ca="1">RiskValStatic(0)+_xll.RiskBinomial(1,Model!U84)</f>
        <v>#NAME?</v>
      </c>
      <c r="CTK2">
        <f>Model!$V$85</f>
        <v>0</v>
      </c>
      <c r="CTL2" t="e">
        <f ca="1">RiskValStatic(0)+_xll.RiskBinomial(1,Model!V84)</f>
        <v>#NAME?</v>
      </c>
      <c r="CTM2">
        <f>Model!$W$85</f>
        <v>0</v>
      </c>
      <c r="CTN2" t="e">
        <f ca="1">RiskValStatic(0)+_xll.RiskBinomial(1,Model!W84)</f>
        <v>#NAME?</v>
      </c>
      <c r="CTO2">
        <f>Model!$X$85</f>
        <v>0</v>
      </c>
      <c r="CTP2" t="e">
        <f ca="1">RiskValStatic(0)+_xll.RiskBinomial(1,Model!X84)</f>
        <v>#NAME?</v>
      </c>
      <c r="CTQ2">
        <f>Model!$Y$85</f>
        <v>0</v>
      </c>
      <c r="CTR2" t="e">
        <f ca="1">RiskValStatic(0)+_xll.RiskBinomial(1,Model!Y84)</f>
        <v>#NAME?</v>
      </c>
      <c r="CTS2">
        <f>Model!$Z$85</f>
        <v>0</v>
      </c>
      <c r="CTT2" t="e">
        <f ca="1">RiskValStatic(0)+_xll.RiskBinomial(1,Model!Z84)</f>
        <v>#NAME?</v>
      </c>
      <c r="CTU2">
        <f>Model!$AA$85</f>
        <v>0</v>
      </c>
      <c r="CTV2" t="e">
        <f ca="1">RiskValStatic(0)+_xll.RiskBinomial(1,Model!AA84)</f>
        <v>#NAME?</v>
      </c>
      <c r="CTW2">
        <f>Model!$AB$85</f>
        <v>0</v>
      </c>
      <c r="CTX2" t="e">
        <f ca="1">RiskValStatic(0)+_xll.RiskBinomial(1,Model!AB84)</f>
        <v>#NAME?</v>
      </c>
      <c r="CTY2">
        <f>Model!$AC$85</f>
        <v>0</v>
      </c>
      <c r="CTZ2" t="e">
        <f ca="1">RiskValStatic(0)+_xll.RiskBinomial(1,Model!AC84)</f>
        <v>#NAME?</v>
      </c>
      <c r="CUA2">
        <f>Model!$AD$85</f>
        <v>0</v>
      </c>
      <c r="CUB2" t="e">
        <f ca="1">RiskValStatic(0)+_xll.RiskBinomial(1,Model!AD84)</f>
        <v>#NAME?</v>
      </c>
      <c r="CUC2">
        <f>Model!$AE$85</f>
        <v>0</v>
      </c>
      <c r="CUD2" t="e">
        <f ca="1">RiskValStatic(0)+_xll.RiskBinomial(1,Model!AE84)</f>
        <v>#NAME?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9"/>
  <sheetViews>
    <sheetView tabSelected="1" zoomScale="80" zoomScaleNormal="80" workbookViewId="0">
      <pane xSplit="1" ySplit="1" topLeftCell="B2" activePane="bottomRight" state="frozen"/>
      <selection pane="topRight" activeCell="B1" sqref="B1"/>
      <selection pane="bottomLeft" activeCell="A2" sqref="A2"/>
      <selection pane="bottomRight" activeCell="A86" sqref="A86"/>
    </sheetView>
  </sheetViews>
  <sheetFormatPr defaultRowHeight="15" x14ac:dyDescent="0.25"/>
  <cols>
    <col min="1" max="1" width="33.85546875" customWidth="1"/>
    <col min="2" max="2" width="16" bestFit="1" customWidth="1"/>
    <col min="3" max="16" width="14.28515625" bestFit="1" customWidth="1"/>
    <col min="17" max="29" width="13.85546875" bestFit="1" customWidth="1"/>
    <col min="30" max="30" width="11.85546875" customWidth="1"/>
    <col min="31" max="31" width="14" customWidth="1"/>
    <col min="32" max="32" width="12" bestFit="1" customWidth="1"/>
  </cols>
  <sheetData>
    <row r="1" spans="1:31" x14ac:dyDescent="0.25">
      <c r="A1" t="s">
        <v>309</v>
      </c>
      <c r="B1">
        <v>2014</v>
      </c>
      <c r="C1">
        <v>2015</v>
      </c>
      <c r="D1">
        <v>2016</v>
      </c>
      <c r="E1">
        <v>2017</v>
      </c>
      <c r="F1">
        <v>2018</v>
      </c>
      <c r="G1">
        <v>2019</v>
      </c>
      <c r="H1">
        <v>2020</v>
      </c>
      <c r="I1">
        <v>2021</v>
      </c>
      <c r="J1">
        <v>2022</v>
      </c>
      <c r="K1">
        <v>2023</v>
      </c>
      <c r="L1">
        <v>2024</v>
      </c>
      <c r="M1">
        <v>2025</v>
      </c>
      <c r="N1">
        <v>2026</v>
      </c>
      <c r="O1">
        <v>2027</v>
      </c>
      <c r="P1">
        <v>2028</v>
      </c>
      <c r="Q1">
        <v>2029</v>
      </c>
      <c r="R1">
        <v>2030</v>
      </c>
      <c r="S1">
        <v>2031</v>
      </c>
      <c r="T1">
        <v>2032</v>
      </c>
      <c r="U1">
        <v>2033</v>
      </c>
      <c r="V1">
        <v>2034</v>
      </c>
      <c r="W1">
        <v>2035</v>
      </c>
      <c r="X1">
        <v>2036</v>
      </c>
      <c r="Y1">
        <v>2037</v>
      </c>
      <c r="Z1">
        <v>2038</v>
      </c>
      <c r="AA1">
        <v>2039</v>
      </c>
      <c r="AB1">
        <v>2040</v>
      </c>
      <c r="AC1">
        <v>2041</v>
      </c>
      <c r="AD1">
        <v>2042</v>
      </c>
      <c r="AE1">
        <v>2043</v>
      </c>
    </row>
    <row r="3" spans="1:31" x14ac:dyDescent="0.25">
      <c r="A3" t="s">
        <v>330</v>
      </c>
      <c r="B3" s="13">
        <v>0</v>
      </c>
      <c r="C3" s="13">
        <v>0</v>
      </c>
      <c r="D3" s="13">
        <v>0</v>
      </c>
      <c r="E3" s="13">
        <v>0</v>
      </c>
      <c r="F3" s="13">
        <v>0</v>
      </c>
      <c r="G3" s="13">
        <v>0</v>
      </c>
      <c r="H3" s="13">
        <v>0</v>
      </c>
      <c r="I3" s="13">
        <v>0</v>
      </c>
      <c r="J3" s="13">
        <v>0</v>
      </c>
      <c r="K3" s="13">
        <v>0</v>
      </c>
      <c r="L3" s="13">
        <v>0</v>
      </c>
      <c r="M3" s="13">
        <v>0</v>
      </c>
      <c r="N3" s="13">
        <v>0</v>
      </c>
      <c r="O3" s="13">
        <v>0</v>
      </c>
      <c r="P3" s="13">
        <v>0</v>
      </c>
      <c r="Q3" s="13">
        <v>0</v>
      </c>
      <c r="R3" s="13">
        <v>0</v>
      </c>
      <c r="S3" s="13">
        <v>0</v>
      </c>
      <c r="T3" s="13">
        <v>0</v>
      </c>
      <c r="U3" s="13">
        <v>0</v>
      </c>
      <c r="V3" s="13">
        <v>0</v>
      </c>
      <c r="W3" s="13">
        <v>0</v>
      </c>
      <c r="X3" s="13">
        <v>0</v>
      </c>
      <c r="Y3" s="13">
        <v>0</v>
      </c>
      <c r="Z3" s="13">
        <v>0</v>
      </c>
      <c r="AA3" s="13">
        <v>0</v>
      </c>
      <c r="AB3" s="13">
        <v>0</v>
      </c>
      <c r="AC3" s="13">
        <v>0</v>
      </c>
      <c r="AD3" s="13">
        <v>0</v>
      </c>
      <c r="AE3" s="13">
        <v>0</v>
      </c>
    </row>
    <row r="4" spans="1:31" x14ac:dyDescent="0.25">
      <c r="A4" t="s">
        <v>331</v>
      </c>
      <c r="B4" s="10">
        <v>0</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v>0</v>
      </c>
      <c r="Z4" s="10">
        <v>0</v>
      </c>
      <c r="AA4" s="10">
        <v>0</v>
      </c>
      <c r="AB4" s="10">
        <v>0</v>
      </c>
      <c r="AC4" s="10">
        <v>0</v>
      </c>
      <c r="AD4" s="10">
        <v>0</v>
      </c>
      <c r="AE4" s="10">
        <v>0</v>
      </c>
    </row>
    <row r="5" spans="1:31" x14ac:dyDescent="0.25">
      <c r="A5" s="47" t="s">
        <v>337</v>
      </c>
      <c r="B5" s="45">
        <f t="shared" ref="B5:AE5" si="0">$I$102</f>
        <v>39.1</v>
      </c>
      <c r="C5" s="45">
        <f t="shared" si="0"/>
        <v>39.1</v>
      </c>
      <c r="D5" s="45">
        <f t="shared" si="0"/>
        <v>39.1</v>
      </c>
      <c r="E5" s="45">
        <f t="shared" si="0"/>
        <v>39.1</v>
      </c>
      <c r="F5" s="45">
        <f t="shared" si="0"/>
        <v>39.1</v>
      </c>
      <c r="G5" s="45">
        <f t="shared" si="0"/>
        <v>39.1</v>
      </c>
      <c r="H5" s="45">
        <f t="shared" si="0"/>
        <v>39.1</v>
      </c>
      <c r="I5" s="45">
        <f t="shared" si="0"/>
        <v>39.1</v>
      </c>
      <c r="J5" s="45">
        <f t="shared" si="0"/>
        <v>39.1</v>
      </c>
      <c r="K5" s="45">
        <f t="shared" si="0"/>
        <v>39.1</v>
      </c>
      <c r="L5" s="45">
        <f t="shared" si="0"/>
        <v>39.1</v>
      </c>
      <c r="M5" s="45">
        <f t="shared" si="0"/>
        <v>39.1</v>
      </c>
      <c r="N5" s="45">
        <f t="shared" si="0"/>
        <v>39.1</v>
      </c>
      <c r="O5" s="45">
        <f t="shared" si="0"/>
        <v>39.1</v>
      </c>
      <c r="P5" s="45">
        <f t="shared" si="0"/>
        <v>39.1</v>
      </c>
      <c r="Q5" s="45">
        <f t="shared" si="0"/>
        <v>39.1</v>
      </c>
      <c r="R5" s="45">
        <f t="shared" si="0"/>
        <v>39.1</v>
      </c>
      <c r="S5" s="45">
        <f t="shared" si="0"/>
        <v>39.1</v>
      </c>
      <c r="T5" s="45">
        <f t="shared" si="0"/>
        <v>39.1</v>
      </c>
      <c r="U5" s="45">
        <f t="shared" si="0"/>
        <v>39.1</v>
      </c>
      <c r="V5" s="45">
        <f t="shared" si="0"/>
        <v>39.1</v>
      </c>
      <c r="W5" s="45">
        <f t="shared" si="0"/>
        <v>39.1</v>
      </c>
      <c r="X5" s="45">
        <f t="shared" si="0"/>
        <v>39.1</v>
      </c>
      <c r="Y5" s="45">
        <f t="shared" si="0"/>
        <v>39.1</v>
      </c>
      <c r="Z5" s="45">
        <f t="shared" si="0"/>
        <v>39.1</v>
      </c>
      <c r="AA5" s="45">
        <f t="shared" si="0"/>
        <v>39.1</v>
      </c>
      <c r="AB5" s="45">
        <f t="shared" si="0"/>
        <v>39.1</v>
      </c>
      <c r="AC5" s="45">
        <f t="shared" si="0"/>
        <v>39.1</v>
      </c>
      <c r="AD5" s="45">
        <f t="shared" si="0"/>
        <v>39.1</v>
      </c>
      <c r="AE5" s="45">
        <f t="shared" si="0"/>
        <v>39.1</v>
      </c>
    </row>
    <row r="6" spans="1:31" s="7" customFormat="1" ht="15.75" thickBot="1" x14ac:dyDescent="0.3">
      <c r="A6" s="47" t="s">
        <v>338</v>
      </c>
      <c r="B6" s="56">
        <f>$C$99-$C$94</f>
        <v>160.53</v>
      </c>
      <c r="C6" s="56">
        <f t="shared" ref="C6:AE6" si="1">$C$99-$C$94</f>
        <v>160.53</v>
      </c>
      <c r="D6" s="56">
        <f t="shared" si="1"/>
        <v>160.53</v>
      </c>
      <c r="E6" s="56">
        <f t="shared" si="1"/>
        <v>160.53</v>
      </c>
      <c r="F6" s="56">
        <f t="shared" si="1"/>
        <v>160.53</v>
      </c>
      <c r="G6" s="56">
        <f t="shared" si="1"/>
        <v>160.53</v>
      </c>
      <c r="H6" s="56">
        <f t="shared" si="1"/>
        <v>160.53</v>
      </c>
      <c r="I6" s="56">
        <f t="shared" si="1"/>
        <v>160.53</v>
      </c>
      <c r="J6" s="56">
        <f t="shared" si="1"/>
        <v>160.53</v>
      </c>
      <c r="K6" s="56">
        <f t="shared" si="1"/>
        <v>160.53</v>
      </c>
      <c r="L6" s="56">
        <f t="shared" si="1"/>
        <v>160.53</v>
      </c>
      <c r="M6" s="56">
        <f t="shared" si="1"/>
        <v>160.53</v>
      </c>
      <c r="N6" s="56">
        <f t="shared" si="1"/>
        <v>160.53</v>
      </c>
      <c r="O6" s="56">
        <f t="shared" si="1"/>
        <v>160.53</v>
      </c>
      <c r="P6" s="56">
        <f t="shared" si="1"/>
        <v>160.53</v>
      </c>
      <c r="Q6" s="56">
        <f t="shared" si="1"/>
        <v>160.53</v>
      </c>
      <c r="R6" s="56">
        <f t="shared" si="1"/>
        <v>160.53</v>
      </c>
      <c r="S6" s="56">
        <f t="shared" si="1"/>
        <v>160.53</v>
      </c>
      <c r="T6" s="56">
        <f t="shared" si="1"/>
        <v>160.53</v>
      </c>
      <c r="U6" s="56">
        <f t="shared" si="1"/>
        <v>160.53</v>
      </c>
      <c r="V6" s="56">
        <f t="shared" si="1"/>
        <v>160.53</v>
      </c>
      <c r="W6" s="56">
        <f t="shared" si="1"/>
        <v>160.53</v>
      </c>
      <c r="X6" s="56">
        <f t="shared" si="1"/>
        <v>160.53</v>
      </c>
      <c r="Y6" s="56">
        <f t="shared" si="1"/>
        <v>160.53</v>
      </c>
      <c r="Z6" s="56">
        <f t="shared" si="1"/>
        <v>160.53</v>
      </c>
      <c r="AA6" s="56">
        <f t="shared" si="1"/>
        <v>160.53</v>
      </c>
      <c r="AB6" s="56">
        <f t="shared" si="1"/>
        <v>160.53</v>
      </c>
      <c r="AC6" s="56">
        <f t="shared" si="1"/>
        <v>160.53</v>
      </c>
      <c r="AD6" s="56">
        <f t="shared" si="1"/>
        <v>160.53</v>
      </c>
      <c r="AE6" s="56">
        <f t="shared" si="1"/>
        <v>160.53</v>
      </c>
    </row>
    <row r="7" spans="1:31" s="7" customFormat="1" ht="16.5" thickTop="1" thickBot="1" x14ac:dyDescent="0.3">
      <c r="A7" s="48" t="s">
        <v>344</v>
      </c>
      <c r="B7" s="56">
        <f>$C$99</f>
        <v>175.93</v>
      </c>
      <c r="C7" s="56">
        <f t="shared" ref="C7:AE7" si="2">$C$99</f>
        <v>175.93</v>
      </c>
      <c r="D7" s="56">
        <f t="shared" si="2"/>
        <v>175.93</v>
      </c>
      <c r="E7" s="56">
        <f t="shared" si="2"/>
        <v>175.93</v>
      </c>
      <c r="F7" s="56">
        <f t="shared" si="2"/>
        <v>175.93</v>
      </c>
      <c r="G7" s="56">
        <f t="shared" si="2"/>
        <v>175.93</v>
      </c>
      <c r="H7" s="56">
        <f t="shared" si="2"/>
        <v>175.93</v>
      </c>
      <c r="I7" s="56">
        <f t="shared" si="2"/>
        <v>175.93</v>
      </c>
      <c r="J7" s="56">
        <f t="shared" si="2"/>
        <v>175.93</v>
      </c>
      <c r="K7" s="56">
        <f t="shared" si="2"/>
        <v>175.93</v>
      </c>
      <c r="L7" s="56">
        <f t="shared" si="2"/>
        <v>175.93</v>
      </c>
      <c r="M7" s="56">
        <f t="shared" si="2"/>
        <v>175.93</v>
      </c>
      <c r="N7" s="56">
        <f t="shared" si="2"/>
        <v>175.93</v>
      </c>
      <c r="O7" s="56">
        <f t="shared" si="2"/>
        <v>175.93</v>
      </c>
      <c r="P7" s="56">
        <f t="shared" si="2"/>
        <v>175.93</v>
      </c>
      <c r="Q7" s="56">
        <f t="shared" si="2"/>
        <v>175.93</v>
      </c>
      <c r="R7" s="56">
        <f t="shared" si="2"/>
        <v>175.93</v>
      </c>
      <c r="S7" s="56">
        <f t="shared" si="2"/>
        <v>175.93</v>
      </c>
      <c r="T7" s="56">
        <f t="shared" si="2"/>
        <v>175.93</v>
      </c>
      <c r="U7" s="56">
        <f t="shared" si="2"/>
        <v>175.93</v>
      </c>
      <c r="V7" s="56">
        <f t="shared" si="2"/>
        <v>175.93</v>
      </c>
      <c r="W7" s="56">
        <f t="shared" si="2"/>
        <v>175.93</v>
      </c>
      <c r="X7" s="56">
        <f t="shared" si="2"/>
        <v>175.93</v>
      </c>
      <c r="Y7" s="56">
        <f t="shared" si="2"/>
        <v>175.93</v>
      </c>
      <c r="Z7" s="56">
        <f t="shared" si="2"/>
        <v>175.93</v>
      </c>
      <c r="AA7" s="56">
        <f t="shared" si="2"/>
        <v>175.93</v>
      </c>
      <c r="AB7" s="56">
        <f t="shared" si="2"/>
        <v>175.93</v>
      </c>
      <c r="AC7" s="56">
        <f t="shared" si="2"/>
        <v>175.93</v>
      </c>
      <c r="AD7" s="56">
        <f t="shared" si="2"/>
        <v>175.93</v>
      </c>
      <c r="AE7" s="56">
        <f t="shared" si="2"/>
        <v>175.93</v>
      </c>
    </row>
    <row r="8" spans="1:31" s="7" customFormat="1" ht="15.75" thickTop="1" x14ac:dyDescent="0.25">
      <c r="A8" s="48" t="s">
        <v>340</v>
      </c>
      <c r="B8" s="7">
        <f>IF(B83=1,0,34.62272485)</f>
        <v>34.622724849999997</v>
      </c>
      <c r="C8" s="7">
        <f>IF(C83=1,0,34.62272485)</f>
        <v>34.622724849999997</v>
      </c>
      <c r="D8" s="7">
        <f>IF(D83=1,0,34.62272485)</f>
        <v>34.622724849999997</v>
      </c>
      <c r="E8" s="7">
        <f>IF(E83=1,0,34.62272485)</f>
        <v>34.622724849999997</v>
      </c>
      <c r="F8" s="7">
        <f>IF(F83=1,0,34.62272485)</f>
        <v>34.622724849999997</v>
      </c>
      <c r="G8" s="7">
        <f>IF(G83=1,0,34.62272485)</f>
        <v>34.622724849999997</v>
      </c>
      <c r="H8" s="7">
        <f>IF(H83=1,0,34.62272485)</f>
        <v>34.622724849999997</v>
      </c>
      <c r="I8" s="7">
        <f>IF(I83=1,0,34.62272485)</f>
        <v>34.622724849999997</v>
      </c>
      <c r="J8" s="7">
        <f>IF(J83=1,0,34.62272485)</f>
        <v>34.622724849999997</v>
      </c>
      <c r="K8" s="7">
        <f>IF(K83=1,0,34.62272485)</f>
        <v>34.622724849999997</v>
      </c>
      <c r="L8" s="7">
        <f>IF(L83=1,0,34.62272485)</f>
        <v>34.622724849999997</v>
      </c>
      <c r="M8" s="7">
        <f>IF(M83=1,0,34.62272485)</f>
        <v>34.622724849999997</v>
      </c>
      <c r="N8" s="7">
        <f>IF(N83=1,0,34.62272485)</f>
        <v>34.622724849999997</v>
      </c>
      <c r="O8" s="7">
        <f>IF(O83=1,0,34.62272485)</f>
        <v>34.622724849999997</v>
      </c>
      <c r="P8" s="7">
        <f>IF(P83=1,0,34.62272485)</f>
        <v>34.622724849999997</v>
      </c>
      <c r="Q8" s="7">
        <f>IF(Q83=1,0,34.62272485)</f>
        <v>34.622724849999997</v>
      </c>
      <c r="R8" s="7">
        <f>IF(R83=1,0,34.62272485)</f>
        <v>34.622724849999997</v>
      </c>
      <c r="S8" s="7">
        <f>IF(S83=1,0,34.62272485)</f>
        <v>34.622724849999997</v>
      </c>
      <c r="T8" s="7">
        <f>IF(T83=1,0,34.62272485)</f>
        <v>34.622724849999997</v>
      </c>
      <c r="U8" s="7">
        <f>IF(U83=1,0,34.62272485)</f>
        <v>34.622724849999997</v>
      </c>
      <c r="V8" s="7">
        <f>IF(V83=1,0,34.62272485)</f>
        <v>34.622724849999997</v>
      </c>
      <c r="W8" s="7">
        <f>IF(W83=1,0,34.62272485)</f>
        <v>34.622724849999997</v>
      </c>
      <c r="X8" s="7">
        <f>IF(X83=1,0,34.62272485)</f>
        <v>34.622724849999997</v>
      </c>
      <c r="Y8" s="7">
        <f>IF(Y83=1,0,34.62272485)</f>
        <v>34.622724849999997</v>
      </c>
      <c r="Z8" s="7">
        <f>IF(Z83=1,0,34.62272485)</f>
        <v>34.622724849999997</v>
      </c>
      <c r="AA8" s="7">
        <f>IF(AA83=1,0,34.62272485)</f>
        <v>34.622724849999997</v>
      </c>
      <c r="AB8" s="7">
        <f>IF(AB83=1,0,34.62272485)</f>
        <v>34.622724849999997</v>
      </c>
      <c r="AC8" s="7">
        <f>IF(AC83=1,0,34.62272485)</f>
        <v>34.622724849999997</v>
      </c>
      <c r="AD8" s="7">
        <f>IF(AD83=1,0,34.62272485)</f>
        <v>34.622724849999997</v>
      </c>
      <c r="AE8" s="7">
        <f>IF(AE83=1,0,34.62272485)</f>
        <v>34.622724849999997</v>
      </c>
    </row>
    <row r="9" spans="1:31" s="7" customFormat="1" x14ac:dyDescent="0.25">
      <c r="A9" s="48" t="s">
        <v>341</v>
      </c>
      <c r="B9" s="2">
        <f>IF(B83=1,0,B8*$F$97)</f>
        <v>69245.449699999997</v>
      </c>
      <c r="C9" s="2">
        <f>IF(C83=1,0,C8*$F$97)</f>
        <v>69245.449699999997</v>
      </c>
      <c r="D9" s="2">
        <f>IF(D83=1,0,D8*$F$97)</f>
        <v>69245.449699999997</v>
      </c>
      <c r="E9" s="2">
        <f>IF(E83=1,0,E8*$F$97)</f>
        <v>69245.449699999997</v>
      </c>
      <c r="F9" s="2">
        <f>IF(F83=1,0,F8*$F$97)</f>
        <v>69245.449699999997</v>
      </c>
      <c r="G9" s="2">
        <f>IF(G83=1,0,G8*$F$97)</f>
        <v>69245.449699999997</v>
      </c>
      <c r="H9" s="2">
        <f>IF(H83=1,0,H8*$F$97)</f>
        <v>69245.449699999997</v>
      </c>
      <c r="I9" s="2">
        <f>IF(I83=1,0,I8*$F$97)</f>
        <v>69245.449699999997</v>
      </c>
      <c r="J9" s="2">
        <f>IF(J83=1,0,J8*$F$97)</f>
        <v>69245.449699999997</v>
      </c>
      <c r="K9" s="2">
        <f>IF(K83=1,0,K8*$F$97)</f>
        <v>69245.449699999997</v>
      </c>
      <c r="L9" s="2">
        <f>IF(L83=1,0,L8*$F$97)</f>
        <v>69245.449699999997</v>
      </c>
      <c r="M9" s="2">
        <f>IF(M83=1,0,M8*$F$97)</f>
        <v>69245.449699999997</v>
      </c>
      <c r="N9" s="2">
        <f>IF(N83=1,0,N8*$F$97)</f>
        <v>69245.449699999997</v>
      </c>
      <c r="O9" s="2">
        <f>IF(O83=1,0,O8*$F$97)</f>
        <v>69245.449699999997</v>
      </c>
      <c r="P9" s="2">
        <f>IF(P83=1,0,P8*$F$97)</f>
        <v>69245.449699999997</v>
      </c>
      <c r="Q9" s="2">
        <f>IF(Q83=1,0,Q8*$F$97)</f>
        <v>69245.449699999997</v>
      </c>
      <c r="R9" s="2">
        <f>IF(R83=1,0,R8*$F$97)</f>
        <v>69245.449699999997</v>
      </c>
      <c r="S9" s="2">
        <f>IF(S83=1,0,S8*$F$97)</f>
        <v>69245.449699999997</v>
      </c>
      <c r="T9" s="2">
        <f>IF(T83=1,0,T8*$F$97)</f>
        <v>69245.449699999997</v>
      </c>
      <c r="U9" s="2">
        <f>IF(U83=1,0,U8*$F$97)</f>
        <v>69245.449699999997</v>
      </c>
      <c r="V9" s="2">
        <f>IF(V83=1,0,V8*$F$97)</f>
        <v>69245.449699999997</v>
      </c>
      <c r="W9" s="2">
        <f>IF(W83=1,0,W8*$F$97)</f>
        <v>69245.449699999997</v>
      </c>
      <c r="X9" s="2">
        <f>IF(X83=1,0,X8*$F$97)</f>
        <v>69245.449699999997</v>
      </c>
      <c r="Y9" s="2">
        <f>IF(Y83=1,0,Y8*$F$97)</f>
        <v>69245.449699999997</v>
      </c>
      <c r="Z9" s="2">
        <f>IF(Z83=1,0,Z8*$F$97)</f>
        <v>69245.449699999997</v>
      </c>
      <c r="AA9" s="2">
        <f>IF(AA83=1,0,AA8*$F$97)</f>
        <v>69245.449699999997</v>
      </c>
      <c r="AB9" s="2">
        <f>IF(AB83=1,0,AB8*$F$97)</f>
        <v>69245.449699999997</v>
      </c>
      <c r="AC9" s="2">
        <f>IF(AC83=1,0,AC8*$F$97)</f>
        <v>69245.449699999997</v>
      </c>
      <c r="AD9" s="2">
        <f>IF(AD83=1,0,AD8*$F$97)</f>
        <v>69245.449699999997</v>
      </c>
      <c r="AE9" s="2">
        <f>IF(AE83=1,0,AE8*$F$97)</f>
        <v>69245.449699999997</v>
      </c>
    </row>
    <row r="10" spans="1:31" x14ac:dyDescent="0.25">
      <c r="A10" s="48" t="s">
        <v>327</v>
      </c>
      <c r="B10" s="58">
        <f t="shared" ref="B10:AE10" si="3">B6*$F$97</f>
        <v>321060</v>
      </c>
      <c r="C10" s="58">
        <f t="shared" si="3"/>
        <v>321060</v>
      </c>
      <c r="D10" s="58">
        <f t="shared" si="3"/>
        <v>321060</v>
      </c>
      <c r="E10" s="58">
        <f t="shared" si="3"/>
        <v>321060</v>
      </c>
      <c r="F10" s="58">
        <f t="shared" si="3"/>
        <v>321060</v>
      </c>
      <c r="G10" s="58">
        <f t="shared" si="3"/>
        <v>321060</v>
      </c>
      <c r="H10" s="58">
        <f t="shared" si="3"/>
        <v>321060</v>
      </c>
      <c r="I10" s="58">
        <f t="shared" si="3"/>
        <v>321060</v>
      </c>
      <c r="J10" s="58">
        <f t="shared" si="3"/>
        <v>321060</v>
      </c>
      <c r="K10" s="58">
        <f t="shared" si="3"/>
        <v>321060</v>
      </c>
      <c r="L10" s="58">
        <f t="shared" si="3"/>
        <v>321060</v>
      </c>
      <c r="M10" s="58">
        <f t="shared" si="3"/>
        <v>321060</v>
      </c>
      <c r="N10" s="58">
        <f t="shared" si="3"/>
        <v>321060</v>
      </c>
      <c r="O10" s="58">
        <f t="shared" si="3"/>
        <v>321060</v>
      </c>
      <c r="P10" s="58">
        <f t="shared" si="3"/>
        <v>321060</v>
      </c>
      <c r="Q10" s="58">
        <f t="shared" si="3"/>
        <v>321060</v>
      </c>
      <c r="R10" s="58">
        <f t="shared" si="3"/>
        <v>321060</v>
      </c>
      <c r="S10" s="58">
        <f t="shared" si="3"/>
        <v>321060</v>
      </c>
      <c r="T10" s="58">
        <f t="shared" si="3"/>
        <v>321060</v>
      </c>
      <c r="U10" s="58">
        <f t="shared" si="3"/>
        <v>321060</v>
      </c>
      <c r="V10" s="58">
        <f t="shared" si="3"/>
        <v>321060</v>
      </c>
      <c r="W10" s="58">
        <f t="shared" si="3"/>
        <v>321060</v>
      </c>
      <c r="X10" s="58">
        <f t="shared" si="3"/>
        <v>321060</v>
      </c>
      <c r="Y10" s="58">
        <f t="shared" si="3"/>
        <v>321060</v>
      </c>
      <c r="Z10" s="58">
        <f t="shared" si="3"/>
        <v>321060</v>
      </c>
      <c r="AA10" s="58">
        <f t="shared" si="3"/>
        <v>321060</v>
      </c>
      <c r="AB10" s="58">
        <f t="shared" si="3"/>
        <v>321060</v>
      </c>
      <c r="AC10" s="58">
        <f t="shared" si="3"/>
        <v>321060</v>
      </c>
      <c r="AD10" s="58">
        <f t="shared" si="3"/>
        <v>321060</v>
      </c>
      <c r="AE10" s="58">
        <f t="shared" si="3"/>
        <v>321060</v>
      </c>
    </row>
    <row r="11" spans="1:31" x14ac:dyDescent="0.25">
      <c r="A11" s="49" t="s">
        <v>343</v>
      </c>
      <c r="B11" s="58">
        <f t="shared" ref="B11:AE11" si="4">$F$97*B7</f>
        <v>351860</v>
      </c>
      <c r="C11" s="58">
        <f t="shared" si="4"/>
        <v>351860</v>
      </c>
      <c r="D11" s="58">
        <f t="shared" si="4"/>
        <v>351860</v>
      </c>
      <c r="E11" s="58">
        <f t="shared" si="4"/>
        <v>351860</v>
      </c>
      <c r="F11" s="58">
        <f t="shared" si="4"/>
        <v>351860</v>
      </c>
      <c r="G11" s="58">
        <f t="shared" si="4"/>
        <v>351860</v>
      </c>
      <c r="H11" s="58">
        <f t="shared" si="4"/>
        <v>351860</v>
      </c>
      <c r="I11" s="58">
        <f t="shared" si="4"/>
        <v>351860</v>
      </c>
      <c r="J11" s="58">
        <f t="shared" si="4"/>
        <v>351860</v>
      </c>
      <c r="K11" s="58">
        <f t="shared" si="4"/>
        <v>351860</v>
      </c>
      <c r="L11" s="58">
        <f t="shared" si="4"/>
        <v>351860</v>
      </c>
      <c r="M11" s="58">
        <f t="shared" si="4"/>
        <v>351860</v>
      </c>
      <c r="N11" s="58">
        <f t="shared" si="4"/>
        <v>351860</v>
      </c>
      <c r="O11" s="58">
        <f t="shared" si="4"/>
        <v>351860</v>
      </c>
      <c r="P11" s="58">
        <f t="shared" si="4"/>
        <v>351860</v>
      </c>
      <c r="Q11" s="58">
        <f t="shared" si="4"/>
        <v>351860</v>
      </c>
      <c r="R11" s="58">
        <f t="shared" si="4"/>
        <v>351860</v>
      </c>
      <c r="S11" s="58">
        <f t="shared" si="4"/>
        <v>351860</v>
      </c>
      <c r="T11" s="58">
        <f t="shared" si="4"/>
        <v>351860</v>
      </c>
      <c r="U11" s="58">
        <f t="shared" si="4"/>
        <v>351860</v>
      </c>
      <c r="V11" s="58">
        <f t="shared" si="4"/>
        <v>351860</v>
      </c>
      <c r="W11" s="58">
        <f t="shared" si="4"/>
        <v>351860</v>
      </c>
      <c r="X11" s="58">
        <f t="shared" si="4"/>
        <v>351860</v>
      </c>
      <c r="Y11" s="58">
        <f t="shared" si="4"/>
        <v>351860</v>
      </c>
      <c r="Z11" s="58">
        <f t="shared" si="4"/>
        <v>351860</v>
      </c>
      <c r="AA11" s="58">
        <f t="shared" si="4"/>
        <v>351860</v>
      </c>
      <c r="AB11" s="58">
        <f t="shared" si="4"/>
        <v>351860</v>
      </c>
      <c r="AC11" s="58">
        <f t="shared" si="4"/>
        <v>351860</v>
      </c>
      <c r="AD11" s="58">
        <f t="shared" si="4"/>
        <v>351860</v>
      </c>
      <c r="AE11" s="58">
        <f t="shared" si="4"/>
        <v>351860</v>
      </c>
    </row>
    <row r="12" spans="1:31" s="16" customFormat="1" ht="15.75" thickBot="1" x14ac:dyDescent="0.3">
      <c r="A12" s="49" t="s">
        <v>110</v>
      </c>
      <c r="B12" s="61">
        <f t="shared" ref="B12:AE12" si="5">$I$103</f>
        <v>8.0500000000000007</v>
      </c>
      <c r="C12" s="61">
        <f t="shared" si="5"/>
        <v>8.0500000000000007</v>
      </c>
      <c r="D12" s="61">
        <f t="shared" si="5"/>
        <v>8.0500000000000007</v>
      </c>
      <c r="E12" s="61">
        <f t="shared" si="5"/>
        <v>8.0500000000000007</v>
      </c>
      <c r="F12" s="61">
        <f t="shared" si="5"/>
        <v>8.0500000000000007</v>
      </c>
      <c r="G12" s="61">
        <f t="shared" si="5"/>
        <v>8.0500000000000007</v>
      </c>
      <c r="H12" s="61">
        <f t="shared" si="5"/>
        <v>8.0500000000000007</v>
      </c>
      <c r="I12" s="61">
        <f t="shared" si="5"/>
        <v>8.0500000000000007</v>
      </c>
      <c r="J12" s="61">
        <f t="shared" si="5"/>
        <v>8.0500000000000007</v>
      </c>
      <c r="K12" s="61">
        <f t="shared" si="5"/>
        <v>8.0500000000000007</v>
      </c>
      <c r="L12" s="61">
        <f t="shared" si="5"/>
        <v>8.0500000000000007</v>
      </c>
      <c r="M12" s="61">
        <f t="shared" si="5"/>
        <v>8.0500000000000007</v>
      </c>
      <c r="N12" s="61">
        <f t="shared" si="5"/>
        <v>8.0500000000000007</v>
      </c>
      <c r="O12" s="61">
        <f t="shared" si="5"/>
        <v>8.0500000000000007</v>
      </c>
      <c r="P12" s="61">
        <f t="shared" si="5"/>
        <v>8.0500000000000007</v>
      </c>
      <c r="Q12" s="61">
        <f t="shared" si="5"/>
        <v>8.0500000000000007</v>
      </c>
      <c r="R12" s="61">
        <f t="shared" si="5"/>
        <v>8.0500000000000007</v>
      </c>
      <c r="S12" s="61">
        <f t="shared" si="5"/>
        <v>8.0500000000000007</v>
      </c>
      <c r="T12" s="61">
        <f t="shared" si="5"/>
        <v>8.0500000000000007</v>
      </c>
      <c r="U12" s="61">
        <f t="shared" si="5"/>
        <v>8.0500000000000007</v>
      </c>
      <c r="V12" s="61">
        <f t="shared" si="5"/>
        <v>8.0500000000000007</v>
      </c>
      <c r="W12" s="61">
        <f t="shared" si="5"/>
        <v>8.0500000000000007</v>
      </c>
      <c r="X12" s="61">
        <f t="shared" si="5"/>
        <v>8.0500000000000007</v>
      </c>
      <c r="Y12" s="61">
        <f t="shared" si="5"/>
        <v>8.0500000000000007</v>
      </c>
      <c r="Z12" s="61">
        <f t="shared" si="5"/>
        <v>8.0500000000000007</v>
      </c>
      <c r="AA12" s="61">
        <f t="shared" si="5"/>
        <v>8.0500000000000007</v>
      </c>
      <c r="AB12" s="61">
        <f t="shared" si="5"/>
        <v>8.0500000000000007</v>
      </c>
      <c r="AC12" s="61">
        <f t="shared" si="5"/>
        <v>8.0500000000000007</v>
      </c>
      <c r="AD12" s="61">
        <f t="shared" si="5"/>
        <v>8.0500000000000007</v>
      </c>
      <c r="AE12" s="61">
        <f t="shared" si="5"/>
        <v>8.0500000000000007</v>
      </c>
    </row>
    <row r="13" spans="1:31" s="15" customFormat="1" ht="15.75" thickTop="1" x14ac:dyDescent="0.25">
      <c r="A13" s="49" t="s">
        <v>345</v>
      </c>
      <c r="B13" s="15">
        <f>B9*B12</f>
        <v>557425.87008500006</v>
      </c>
      <c r="C13" s="15">
        <f>C9*C12</f>
        <v>557425.87008500006</v>
      </c>
      <c r="D13" s="15">
        <f>D9*D12</f>
        <v>557425.87008500006</v>
      </c>
      <c r="E13" s="15">
        <f>E9*E12</f>
        <v>557425.87008500006</v>
      </c>
      <c r="F13" s="15">
        <f>F9*F12</f>
        <v>557425.87008500006</v>
      </c>
      <c r="G13" s="15">
        <f>G9*G12</f>
        <v>557425.87008500006</v>
      </c>
      <c r="H13" s="15">
        <f>H9*H12</f>
        <v>557425.87008500006</v>
      </c>
      <c r="I13" s="15">
        <f>I9*I12</f>
        <v>557425.87008500006</v>
      </c>
      <c r="J13" s="15">
        <f>J9*J12</f>
        <v>557425.87008500006</v>
      </c>
      <c r="K13" s="15">
        <f>K9*K12</f>
        <v>557425.87008500006</v>
      </c>
      <c r="L13" s="15">
        <f>L9*L12</f>
        <v>557425.87008500006</v>
      </c>
      <c r="M13" s="15">
        <f>M9*M12</f>
        <v>557425.87008500006</v>
      </c>
      <c r="N13" s="15">
        <f>N9*N12</f>
        <v>557425.87008500006</v>
      </c>
      <c r="O13" s="15">
        <f>O9*O12</f>
        <v>557425.87008500006</v>
      </c>
      <c r="P13" s="15">
        <f>P9*P12</f>
        <v>557425.87008500006</v>
      </c>
      <c r="Q13" s="15">
        <f>Q9*Q12</f>
        <v>557425.87008500006</v>
      </c>
      <c r="R13" s="15">
        <f>R9*R12</f>
        <v>557425.87008500006</v>
      </c>
      <c r="S13" s="15">
        <f>S9*S12</f>
        <v>557425.87008500006</v>
      </c>
      <c r="T13" s="15">
        <f>T9*T12</f>
        <v>557425.87008500006</v>
      </c>
      <c r="U13" s="15">
        <f>U9*U12</f>
        <v>557425.87008500006</v>
      </c>
      <c r="V13" s="15">
        <f>V9*V12</f>
        <v>557425.87008500006</v>
      </c>
      <c r="W13" s="15">
        <f>W9*W12</f>
        <v>557425.87008500006</v>
      </c>
      <c r="X13" s="15">
        <f>X9*X12</f>
        <v>557425.87008500006</v>
      </c>
      <c r="Y13" s="15">
        <f>Y9*Y12</f>
        <v>557425.87008500006</v>
      </c>
      <c r="Z13" s="15">
        <f>Z9*Z12</f>
        <v>557425.87008500006</v>
      </c>
      <c r="AA13" s="15">
        <f>AA9*AA12</f>
        <v>557425.87008500006</v>
      </c>
      <c r="AB13" s="15">
        <f>AB9*AB12</f>
        <v>557425.87008500006</v>
      </c>
      <c r="AC13" s="15">
        <f>AC9*AC12</f>
        <v>557425.87008500006</v>
      </c>
      <c r="AD13" s="15">
        <f>AD9*AD12</f>
        <v>557425.87008500006</v>
      </c>
      <c r="AE13" s="15">
        <f>AE9*AE12</f>
        <v>557425.87008500006</v>
      </c>
    </row>
    <row r="14" spans="1:31" s="15" customFormat="1" x14ac:dyDescent="0.25"/>
    <row r="15" spans="1:31" ht="15.75" thickBot="1" x14ac:dyDescent="0.3">
      <c r="A15" s="46" t="s">
        <v>336</v>
      </c>
      <c r="B15" s="43">
        <f t="shared" ref="B15:AE15" si="6">$I$108</f>
        <v>32.700000000000003</v>
      </c>
      <c r="C15" s="43">
        <f t="shared" si="6"/>
        <v>32.700000000000003</v>
      </c>
      <c r="D15" s="43">
        <f t="shared" si="6"/>
        <v>32.700000000000003</v>
      </c>
      <c r="E15" s="43">
        <f t="shared" si="6"/>
        <v>32.700000000000003</v>
      </c>
      <c r="F15" s="43">
        <f t="shared" si="6"/>
        <v>32.700000000000003</v>
      </c>
      <c r="G15" s="43">
        <f t="shared" si="6"/>
        <v>32.700000000000003</v>
      </c>
      <c r="H15" s="43">
        <f t="shared" si="6"/>
        <v>32.700000000000003</v>
      </c>
      <c r="I15" s="43">
        <f t="shared" si="6"/>
        <v>32.700000000000003</v>
      </c>
      <c r="J15" s="43">
        <f t="shared" si="6"/>
        <v>32.700000000000003</v>
      </c>
      <c r="K15" s="43">
        <f t="shared" si="6"/>
        <v>32.700000000000003</v>
      </c>
      <c r="L15" s="43">
        <f t="shared" si="6"/>
        <v>32.700000000000003</v>
      </c>
      <c r="M15" s="43">
        <f t="shared" si="6"/>
        <v>32.700000000000003</v>
      </c>
      <c r="N15" s="43">
        <f t="shared" si="6"/>
        <v>32.700000000000003</v>
      </c>
      <c r="O15" s="43">
        <f t="shared" si="6"/>
        <v>32.700000000000003</v>
      </c>
      <c r="P15" s="43">
        <f t="shared" si="6"/>
        <v>32.700000000000003</v>
      </c>
      <c r="Q15" s="43">
        <f t="shared" si="6"/>
        <v>32.700000000000003</v>
      </c>
      <c r="R15" s="43">
        <f t="shared" si="6"/>
        <v>32.700000000000003</v>
      </c>
      <c r="S15" s="43">
        <f t="shared" si="6"/>
        <v>32.700000000000003</v>
      </c>
      <c r="T15" s="43">
        <f t="shared" si="6"/>
        <v>32.700000000000003</v>
      </c>
      <c r="U15" s="43">
        <f t="shared" si="6"/>
        <v>32.700000000000003</v>
      </c>
      <c r="V15" s="43">
        <f t="shared" si="6"/>
        <v>32.700000000000003</v>
      </c>
      <c r="W15" s="43">
        <f t="shared" si="6"/>
        <v>32.700000000000003</v>
      </c>
      <c r="X15" s="43">
        <f t="shared" si="6"/>
        <v>32.700000000000003</v>
      </c>
      <c r="Y15" s="43">
        <f t="shared" si="6"/>
        <v>32.700000000000003</v>
      </c>
      <c r="Z15" s="43">
        <f t="shared" si="6"/>
        <v>32.700000000000003</v>
      </c>
      <c r="AA15" s="43">
        <f t="shared" si="6"/>
        <v>32.700000000000003</v>
      </c>
      <c r="AB15" s="43">
        <f t="shared" si="6"/>
        <v>32.700000000000003</v>
      </c>
      <c r="AC15" s="43">
        <f t="shared" si="6"/>
        <v>32.700000000000003</v>
      </c>
      <c r="AD15" s="43">
        <f t="shared" si="6"/>
        <v>32.700000000000003</v>
      </c>
      <c r="AE15" s="43">
        <f t="shared" si="6"/>
        <v>32.700000000000003</v>
      </c>
    </row>
    <row r="16" spans="1:31" s="7" customFormat="1" ht="16.5" thickTop="1" thickBot="1" x14ac:dyDescent="0.3">
      <c r="A16" s="46" t="s">
        <v>335</v>
      </c>
      <c r="B16" s="56">
        <f t="shared" ref="B16:AE16" si="7">$D$99</f>
        <v>159.33000000000001</v>
      </c>
      <c r="C16" s="56">
        <f t="shared" si="7"/>
        <v>159.33000000000001</v>
      </c>
      <c r="D16" s="56">
        <f t="shared" si="7"/>
        <v>159.33000000000001</v>
      </c>
      <c r="E16" s="56">
        <f t="shared" si="7"/>
        <v>159.33000000000001</v>
      </c>
      <c r="F16" s="56">
        <f t="shared" si="7"/>
        <v>159.33000000000001</v>
      </c>
      <c r="G16" s="56">
        <f t="shared" si="7"/>
        <v>159.33000000000001</v>
      </c>
      <c r="H16" s="56">
        <f t="shared" si="7"/>
        <v>159.33000000000001</v>
      </c>
      <c r="I16" s="56">
        <f t="shared" si="7"/>
        <v>159.33000000000001</v>
      </c>
      <c r="J16" s="56">
        <f t="shared" si="7"/>
        <v>159.33000000000001</v>
      </c>
      <c r="K16" s="56">
        <f t="shared" si="7"/>
        <v>159.33000000000001</v>
      </c>
      <c r="L16" s="56">
        <f t="shared" si="7"/>
        <v>159.33000000000001</v>
      </c>
      <c r="M16" s="56">
        <f t="shared" si="7"/>
        <v>159.33000000000001</v>
      </c>
      <c r="N16" s="56">
        <f t="shared" si="7"/>
        <v>159.33000000000001</v>
      </c>
      <c r="O16" s="56">
        <f t="shared" si="7"/>
        <v>159.33000000000001</v>
      </c>
      <c r="P16" s="56">
        <f t="shared" si="7"/>
        <v>159.33000000000001</v>
      </c>
      <c r="Q16" s="56">
        <f t="shared" si="7"/>
        <v>159.33000000000001</v>
      </c>
      <c r="R16" s="56">
        <f t="shared" si="7"/>
        <v>159.33000000000001</v>
      </c>
      <c r="S16" s="56">
        <f t="shared" si="7"/>
        <v>159.33000000000001</v>
      </c>
      <c r="T16" s="56">
        <f t="shared" si="7"/>
        <v>159.33000000000001</v>
      </c>
      <c r="U16" s="56">
        <f t="shared" si="7"/>
        <v>159.33000000000001</v>
      </c>
      <c r="V16" s="56">
        <f t="shared" si="7"/>
        <v>159.33000000000001</v>
      </c>
      <c r="W16" s="56">
        <f t="shared" si="7"/>
        <v>159.33000000000001</v>
      </c>
      <c r="X16" s="56">
        <f t="shared" si="7"/>
        <v>159.33000000000001</v>
      </c>
      <c r="Y16" s="56">
        <f t="shared" si="7"/>
        <v>159.33000000000001</v>
      </c>
      <c r="Z16" s="56">
        <f t="shared" si="7"/>
        <v>159.33000000000001</v>
      </c>
      <c r="AA16" s="56">
        <f t="shared" si="7"/>
        <v>159.33000000000001</v>
      </c>
      <c r="AB16" s="56">
        <f t="shared" si="7"/>
        <v>159.33000000000001</v>
      </c>
      <c r="AC16" s="56">
        <f t="shared" si="7"/>
        <v>159.33000000000001</v>
      </c>
      <c r="AD16" s="56">
        <f t="shared" si="7"/>
        <v>159.33000000000001</v>
      </c>
      <c r="AE16" s="56">
        <f t="shared" si="7"/>
        <v>159.33000000000001</v>
      </c>
    </row>
    <row r="17" spans="1:31" s="7" customFormat="1" ht="15.75" thickTop="1" x14ac:dyDescent="0.25">
      <c r="A17" s="46" t="s">
        <v>339</v>
      </c>
      <c r="B17" s="7">
        <f>IF(B85=1,0,26.94486599)</f>
        <v>26.94486599</v>
      </c>
      <c r="C17" s="7">
        <f>IF(C85=1,0,26.94486599)</f>
        <v>26.94486599</v>
      </c>
      <c r="D17" s="7">
        <f>IF(D85=1,0,26.94486599)</f>
        <v>26.94486599</v>
      </c>
      <c r="E17" s="7">
        <f>IF(E85=1,0,26.94486599)</f>
        <v>26.94486599</v>
      </c>
      <c r="F17" s="7">
        <f>IF(F85=1,0,26.94486599)</f>
        <v>26.94486599</v>
      </c>
      <c r="G17" s="7">
        <f>IF(G85=1,0,26.94486599)</f>
        <v>26.94486599</v>
      </c>
      <c r="H17" s="7">
        <f>IF(H85=1,0,26.94486599)</f>
        <v>26.94486599</v>
      </c>
      <c r="I17" s="7">
        <f>IF(I85=1,0,26.94486599)</f>
        <v>26.94486599</v>
      </c>
      <c r="J17" s="7">
        <f>IF(J85=1,0,26.94486599)</f>
        <v>26.94486599</v>
      </c>
      <c r="K17" s="7">
        <f>IF(K85=1,0,26.94486599)</f>
        <v>26.94486599</v>
      </c>
      <c r="L17" s="7">
        <f>IF(L85=1,0,26.94486599)</f>
        <v>26.94486599</v>
      </c>
      <c r="M17" s="7">
        <f>IF(M85=1,0,26.94486599)</f>
        <v>26.94486599</v>
      </c>
      <c r="N17" s="7">
        <f>IF(N85=1,0,26.94486599)</f>
        <v>26.94486599</v>
      </c>
      <c r="O17" s="7">
        <f>IF(O85=1,0,26.94486599)</f>
        <v>26.94486599</v>
      </c>
      <c r="P17" s="7">
        <f>IF(P85=1,0,26.94486599)</f>
        <v>26.94486599</v>
      </c>
      <c r="Q17" s="7">
        <f>IF(Q85=1,0,26.94486599)</f>
        <v>26.94486599</v>
      </c>
      <c r="R17" s="7">
        <f>IF(R85=1,0,26.94486599)</f>
        <v>26.94486599</v>
      </c>
      <c r="S17" s="7">
        <f>IF(S85=1,0,26.94486599)</f>
        <v>26.94486599</v>
      </c>
      <c r="T17" s="7">
        <f>IF(T85=1,0,26.94486599)</f>
        <v>26.94486599</v>
      </c>
      <c r="U17" s="7">
        <f>IF(U85=1,0,26.94486599)</f>
        <v>26.94486599</v>
      </c>
      <c r="V17" s="7">
        <f>IF(V85=1,0,26.94486599)</f>
        <v>26.94486599</v>
      </c>
      <c r="W17" s="7">
        <f>IF(W85=1,0,26.94486599)</f>
        <v>26.94486599</v>
      </c>
      <c r="X17" s="7">
        <f>IF(X85=1,0,26.94486599)</f>
        <v>26.94486599</v>
      </c>
      <c r="Y17" s="7">
        <f>IF(Y85=1,0,26.94486599)</f>
        <v>26.94486599</v>
      </c>
      <c r="Z17" s="7">
        <f>IF(Z85=1,0,26.94486599)</f>
        <v>26.94486599</v>
      </c>
      <c r="AA17" s="7">
        <f>IF(AA85=1,0,26.94486599)</f>
        <v>26.94486599</v>
      </c>
      <c r="AB17" s="7">
        <f>IF(AB85=1,0,26.94486599)</f>
        <v>26.94486599</v>
      </c>
      <c r="AC17" s="7">
        <f>IF(AC85=1,0,26.94486599)</f>
        <v>26.94486599</v>
      </c>
      <c r="AD17" s="7">
        <f>IF(AD85=1,0,26.94486599)</f>
        <v>26.94486599</v>
      </c>
      <c r="AE17" s="7">
        <f>IF(AE85=1,0,26.94486599)</f>
        <v>26.94486599</v>
      </c>
    </row>
    <row r="18" spans="1:31" s="7" customFormat="1" x14ac:dyDescent="0.25">
      <c r="A18" s="46" t="s">
        <v>342</v>
      </c>
      <c r="B18" s="2">
        <f>IF(B85=1,0,B17*$F$97)</f>
        <v>53889.731980000004</v>
      </c>
      <c r="C18" s="2">
        <f>IF(C85=1,0,C17*$F$97)</f>
        <v>53889.731980000004</v>
      </c>
      <c r="D18" s="2">
        <f>IF(D85=1,0,D17*$F$97)</f>
        <v>53889.731980000004</v>
      </c>
      <c r="E18" s="2">
        <f>IF(E85=1,0,E17*$F$97)</f>
        <v>53889.731980000004</v>
      </c>
      <c r="F18" s="2">
        <f>IF(F85=1,0,F17*$F$97)</f>
        <v>53889.731980000004</v>
      </c>
      <c r="G18" s="2">
        <f>IF(G85=1,0,G17*$F$97)</f>
        <v>53889.731980000004</v>
      </c>
      <c r="H18" s="2">
        <f>IF(H85=1,0,H17*$F$97)</f>
        <v>53889.731980000004</v>
      </c>
      <c r="I18" s="2">
        <f>IF(I85=1,0,I17*$F$97)</f>
        <v>53889.731980000004</v>
      </c>
      <c r="J18" s="2">
        <f>IF(J85=1,0,J17*$F$97)</f>
        <v>53889.731980000004</v>
      </c>
      <c r="K18" s="2">
        <f>IF(K85=1,0,K17*$F$97)</f>
        <v>53889.731980000004</v>
      </c>
      <c r="L18" s="2">
        <f>IF(L85=1,0,L17*$F$97)</f>
        <v>53889.731980000004</v>
      </c>
      <c r="M18" s="2">
        <f>IF(M85=1,0,M17*$F$97)</f>
        <v>53889.731980000004</v>
      </c>
      <c r="N18" s="2">
        <f>IF(N85=1,0,N17*$F$97)</f>
        <v>53889.731980000004</v>
      </c>
      <c r="O18" s="2">
        <f>IF(O85=1,0,O17*$F$97)</f>
        <v>53889.731980000004</v>
      </c>
      <c r="P18" s="2">
        <f>IF(P85=1,0,P17*$F$97)</f>
        <v>53889.731980000004</v>
      </c>
      <c r="Q18" s="2">
        <f>IF(Q85=1,0,Q17*$F$97)</f>
        <v>53889.731980000004</v>
      </c>
      <c r="R18" s="2">
        <f>IF(R85=1,0,R17*$F$97)</f>
        <v>53889.731980000004</v>
      </c>
      <c r="S18" s="2">
        <f>IF(S85=1,0,S17*$F$97)</f>
        <v>53889.731980000004</v>
      </c>
      <c r="T18" s="2">
        <f>IF(T85=1,0,T17*$F$97)</f>
        <v>53889.731980000004</v>
      </c>
      <c r="U18" s="2">
        <f>IF(U85=1,0,U17*$F$97)</f>
        <v>53889.731980000004</v>
      </c>
      <c r="V18" s="2">
        <f>IF(V85=1,0,V17*$F$97)</f>
        <v>53889.731980000004</v>
      </c>
      <c r="W18" s="2">
        <f>IF(W85=1,0,W17*$F$97)</f>
        <v>53889.731980000004</v>
      </c>
      <c r="X18" s="2">
        <f>IF(X85=1,0,X17*$F$97)</f>
        <v>53889.731980000004</v>
      </c>
      <c r="Y18" s="2">
        <f>IF(Y85=1,0,Y17*$F$97)</f>
        <v>53889.731980000004</v>
      </c>
      <c r="Z18" s="2">
        <f>IF(Z85=1,0,Z17*$F$97)</f>
        <v>53889.731980000004</v>
      </c>
      <c r="AA18" s="2">
        <f>IF(AA85=1,0,AA17*$F$97)</f>
        <v>53889.731980000004</v>
      </c>
      <c r="AB18" s="2">
        <f>IF(AB85=1,0,AB17*$F$97)</f>
        <v>53889.731980000004</v>
      </c>
      <c r="AC18" s="2">
        <f>IF(AC85=1,0,AC17*$F$97)</f>
        <v>53889.731980000004</v>
      </c>
      <c r="AD18" s="2">
        <f>IF(AD85=1,0,AD17*$F$97)</f>
        <v>53889.731980000004</v>
      </c>
      <c r="AE18" s="2">
        <f>IF(AE85=1,0,AE17*$F$97)</f>
        <v>53889.731980000004</v>
      </c>
    </row>
    <row r="19" spans="1:31" x14ac:dyDescent="0.25">
      <c r="A19" s="46" t="s">
        <v>346</v>
      </c>
      <c r="B19" s="58">
        <f t="shared" ref="B19:AE19" si="8">B16*$F$97</f>
        <v>318660</v>
      </c>
      <c r="C19" s="58">
        <f t="shared" si="8"/>
        <v>318660</v>
      </c>
      <c r="D19" s="58">
        <f t="shared" si="8"/>
        <v>318660</v>
      </c>
      <c r="E19" s="58">
        <f t="shared" si="8"/>
        <v>318660</v>
      </c>
      <c r="F19" s="58">
        <f t="shared" si="8"/>
        <v>318660</v>
      </c>
      <c r="G19" s="58">
        <f t="shared" si="8"/>
        <v>318660</v>
      </c>
      <c r="H19" s="58">
        <f t="shared" si="8"/>
        <v>318660</v>
      </c>
      <c r="I19" s="58">
        <f t="shared" si="8"/>
        <v>318660</v>
      </c>
      <c r="J19" s="58">
        <f t="shared" si="8"/>
        <v>318660</v>
      </c>
      <c r="K19" s="58">
        <f t="shared" si="8"/>
        <v>318660</v>
      </c>
      <c r="L19" s="58">
        <f t="shared" si="8"/>
        <v>318660</v>
      </c>
      <c r="M19" s="58">
        <f t="shared" si="8"/>
        <v>318660</v>
      </c>
      <c r="N19" s="58">
        <f t="shared" si="8"/>
        <v>318660</v>
      </c>
      <c r="O19" s="58">
        <f t="shared" si="8"/>
        <v>318660</v>
      </c>
      <c r="P19" s="58">
        <f t="shared" si="8"/>
        <v>318660</v>
      </c>
      <c r="Q19" s="58">
        <f t="shared" si="8"/>
        <v>318660</v>
      </c>
      <c r="R19" s="58">
        <f t="shared" si="8"/>
        <v>318660</v>
      </c>
      <c r="S19" s="58">
        <f t="shared" si="8"/>
        <v>318660</v>
      </c>
      <c r="T19" s="58">
        <f t="shared" si="8"/>
        <v>318660</v>
      </c>
      <c r="U19" s="58">
        <f t="shared" si="8"/>
        <v>318660</v>
      </c>
      <c r="V19" s="58">
        <f t="shared" si="8"/>
        <v>318660</v>
      </c>
      <c r="W19" s="58">
        <f t="shared" si="8"/>
        <v>318660</v>
      </c>
      <c r="X19" s="58">
        <f t="shared" si="8"/>
        <v>318660</v>
      </c>
      <c r="Y19" s="58">
        <f t="shared" si="8"/>
        <v>318660</v>
      </c>
      <c r="Z19" s="58">
        <f t="shared" si="8"/>
        <v>318660</v>
      </c>
      <c r="AA19" s="58">
        <f t="shared" si="8"/>
        <v>318660</v>
      </c>
      <c r="AB19" s="58">
        <f t="shared" si="8"/>
        <v>318660</v>
      </c>
      <c r="AC19" s="58">
        <f t="shared" si="8"/>
        <v>318660</v>
      </c>
      <c r="AD19" s="58">
        <f t="shared" si="8"/>
        <v>318660</v>
      </c>
      <c r="AE19" s="58">
        <f t="shared" si="8"/>
        <v>318660</v>
      </c>
    </row>
    <row r="20" spans="1:31" ht="15.75" thickBot="1" x14ac:dyDescent="0.3">
      <c r="A20" s="55" t="s">
        <v>350</v>
      </c>
      <c r="B20" s="61">
        <f t="shared" ref="B20:AE20" si="9">$I$109</f>
        <v>8.7799999999999994</v>
      </c>
      <c r="C20" s="61">
        <f t="shared" si="9"/>
        <v>8.7799999999999994</v>
      </c>
      <c r="D20" s="61">
        <f t="shared" si="9"/>
        <v>8.7799999999999994</v>
      </c>
      <c r="E20" s="61">
        <f t="shared" si="9"/>
        <v>8.7799999999999994</v>
      </c>
      <c r="F20" s="61">
        <f t="shared" si="9"/>
        <v>8.7799999999999994</v>
      </c>
      <c r="G20" s="61">
        <f t="shared" si="9"/>
        <v>8.7799999999999994</v>
      </c>
      <c r="H20" s="61">
        <f t="shared" si="9"/>
        <v>8.7799999999999994</v>
      </c>
      <c r="I20" s="61">
        <f t="shared" si="9"/>
        <v>8.7799999999999994</v>
      </c>
      <c r="J20" s="61">
        <f t="shared" si="9"/>
        <v>8.7799999999999994</v>
      </c>
      <c r="K20" s="61">
        <f t="shared" si="9"/>
        <v>8.7799999999999994</v>
      </c>
      <c r="L20" s="61">
        <f t="shared" si="9"/>
        <v>8.7799999999999994</v>
      </c>
      <c r="M20" s="61">
        <f t="shared" si="9"/>
        <v>8.7799999999999994</v>
      </c>
      <c r="N20" s="61">
        <f t="shared" si="9"/>
        <v>8.7799999999999994</v>
      </c>
      <c r="O20" s="61">
        <f t="shared" si="9"/>
        <v>8.7799999999999994</v>
      </c>
      <c r="P20" s="61">
        <f t="shared" si="9"/>
        <v>8.7799999999999994</v>
      </c>
      <c r="Q20" s="61">
        <f t="shared" si="9"/>
        <v>8.7799999999999994</v>
      </c>
      <c r="R20" s="61">
        <f t="shared" si="9"/>
        <v>8.7799999999999994</v>
      </c>
      <c r="S20" s="61">
        <f t="shared" si="9"/>
        <v>8.7799999999999994</v>
      </c>
      <c r="T20" s="61">
        <f t="shared" si="9"/>
        <v>8.7799999999999994</v>
      </c>
      <c r="U20" s="61">
        <f t="shared" si="9"/>
        <v>8.7799999999999994</v>
      </c>
      <c r="V20" s="61">
        <f t="shared" si="9"/>
        <v>8.7799999999999994</v>
      </c>
      <c r="W20" s="61">
        <f t="shared" si="9"/>
        <v>8.7799999999999994</v>
      </c>
      <c r="X20" s="61">
        <f t="shared" si="9"/>
        <v>8.7799999999999994</v>
      </c>
      <c r="Y20" s="61">
        <f t="shared" si="9"/>
        <v>8.7799999999999994</v>
      </c>
      <c r="Z20" s="61">
        <f t="shared" si="9"/>
        <v>8.7799999999999994</v>
      </c>
      <c r="AA20" s="61">
        <f t="shared" si="9"/>
        <v>8.7799999999999994</v>
      </c>
      <c r="AB20" s="61">
        <f t="shared" si="9"/>
        <v>8.7799999999999994</v>
      </c>
      <c r="AC20" s="61">
        <f t="shared" si="9"/>
        <v>8.7799999999999994</v>
      </c>
      <c r="AD20" s="61">
        <f t="shared" si="9"/>
        <v>8.7799999999999994</v>
      </c>
      <c r="AE20" s="61">
        <f t="shared" si="9"/>
        <v>8.7799999999999994</v>
      </c>
    </row>
    <row r="21" spans="1:31" ht="15.75" thickTop="1" x14ac:dyDescent="0.25">
      <c r="A21" s="55" t="s">
        <v>351</v>
      </c>
      <c r="B21" s="15">
        <f>B20*B18</f>
        <v>473151.8467844</v>
      </c>
      <c r="C21" s="15">
        <f>C20*C18</f>
        <v>473151.8467844</v>
      </c>
      <c r="D21" s="15">
        <f>D20*D18</f>
        <v>473151.8467844</v>
      </c>
      <c r="E21" s="15">
        <f>E20*E18</f>
        <v>473151.8467844</v>
      </c>
      <c r="F21" s="15">
        <f>F20*F18</f>
        <v>473151.8467844</v>
      </c>
      <c r="G21" s="15">
        <f>G20*G18</f>
        <v>473151.8467844</v>
      </c>
      <c r="H21" s="15">
        <f>H20*H18</f>
        <v>473151.8467844</v>
      </c>
      <c r="I21" s="15">
        <f>I20*I18</f>
        <v>473151.8467844</v>
      </c>
      <c r="J21" s="15">
        <f>J20*J18</f>
        <v>473151.8467844</v>
      </c>
      <c r="K21" s="15">
        <f>K20*K18</f>
        <v>473151.8467844</v>
      </c>
      <c r="L21" s="15">
        <f>L20*L18</f>
        <v>473151.8467844</v>
      </c>
      <c r="M21" s="15">
        <f>M20*M18</f>
        <v>473151.8467844</v>
      </c>
      <c r="N21" s="15">
        <f>N20*N18</f>
        <v>473151.8467844</v>
      </c>
      <c r="O21" s="15">
        <f>O20*O18</f>
        <v>473151.8467844</v>
      </c>
      <c r="P21" s="15">
        <f>P20*P18</f>
        <v>473151.8467844</v>
      </c>
      <c r="Q21" s="15">
        <f>Q20*Q18</f>
        <v>473151.8467844</v>
      </c>
      <c r="R21" s="15">
        <f>R20*R18</f>
        <v>473151.8467844</v>
      </c>
      <c r="S21" s="15">
        <f>S20*S18</f>
        <v>473151.8467844</v>
      </c>
      <c r="T21" s="15">
        <f>T20*T18</f>
        <v>473151.8467844</v>
      </c>
      <c r="U21" s="15">
        <f>U20*U18</f>
        <v>473151.8467844</v>
      </c>
      <c r="V21" s="15">
        <f>V20*V18</f>
        <v>473151.8467844</v>
      </c>
      <c r="W21" s="15">
        <f>W20*W18</f>
        <v>473151.8467844</v>
      </c>
      <c r="X21" s="15">
        <f>X20*X18</f>
        <v>473151.8467844</v>
      </c>
      <c r="Y21" s="15">
        <f>Y20*Y18</f>
        <v>473151.8467844</v>
      </c>
      <c r="Z21" s="15">
        <f>Z20*Z18</f>
        <v>473151.8467844</v>
      </c>
      <c r="AA21" s="15">
        <f>AA20*AA18</f>
        <v>473151.8467844</v>
      </c>
      <c r="AB21" s="15">
        <f>AB20*AB18</f>
        <v>473151.8467844</v>
      </c>
      <c r="AC21" s="15">
        <f>AC20*AC18</f>
        <v>473151.8467844</v>
      </c>
      <c r="AD21" s="15">
        <f>AD20*AD18</f>
        <v>473151.8467844</v>
      </c>
      <c r="AE21" s="15">
        <f>AE20*AE18</f>
        <v>473151.8467844</v>
      </c>
    </row>
    <row r="22" spans="1:31" s="16" customFormat="1" x14ac:dyDescent="0.25">
      <c r="A22" s="59" t="s">
        <v>391</v>
      </c>
      <c r="AA22" s="16">
        <f>39.7*0.7</f>
        <v>27.79</v>
      </c>
      <c r="AB22" s="16">
        <f>32.7*0.7</f>
        <v>22.89</v>
      </c>
    </row>
    <row r="23" spans="1:31" s="16" customFormat="1" x14ac:dyDescent="0.25"/>
    <row r="24" spans="1:31" s="14" customFormat="1" x14ac:dyDescent="0.25">
      <c r="A24" s="59" t="s">
        <v>321</v>
      </c>
    </row>
    <row r="25" spans="1:31" s="15" customFormat="1" x14ac:dyDescent="0.25">
      <c r="A25" s="65" t="s">
        <v>352</v>
      </c>
      <c r="B25" s="58">
        <f t="shared" ref="B25:AE25" si="10">IF(B83=1,(B10*0),0)</f>
        <v>0</v>
      </c>
      <c r="C25" s="58">
        <f t="shared" si="10"/>
        <v>0</v>
      </c>
      <c r="D25" s="58">
        <f t="shared" si="10"/>
        <v>0</v>
      </c>
      <c r="E25" s="58">
        <f t="shared" si="10"/>
        <v>0</v>
      </c>
      <c r="F25" s="58">
        <f t="shared" si="10"/>
        <v>0</v>
      </c>
      <c r="G25" s="58">
        <f t="shared" si="10"/>
        <v>0</v>
      </c>
      <c r="H25" s="58">
        <f t="shared" si="10"/>
        <v>0</v>
      </c>
      <c r="I25" s="58">
        <f t="shared" si="10"/>
        <v>0</v>
      </c>
      <c r="J25" s="58">
        <f t="shared" si="10"/>
        <v>0</v>
      </c>
      <c r="K25" s="58">
        <f t="shared" si="10"/>
        <v>0</v>
      </c>
      <c r="L25" s="58">
        <f t="shared" si="10"/>
        <v>0</v>
      </c>
      <c r="M25" s="58">
        <f t="shared" si="10"/>
        <v>0</v>
      </c>
      <c r="N25" s="58">
        <f t="shared" si="10"/>
        <v>0</v>
      </c>
      <c r="O25" s="58">
        <f t="shared" si="10"/>
        <v>0</v>
      </c>
      <c r="P25" s="58">
        <f t="shared" si="10"/>
        <v>0</v>
      </c>
      <c r="Q25" s="58">
        <f t="shared" si="10"/>
        <v>0</v>
      </c>
      <c r="R25" s="58">
        <f t="shared" si="10"/>
        <v>0</v>
      </c>
      <c r="S25" s="58">
        <f t="shared" si="10"/>
        <v>0</v>
      </c>
      <c r="T25" s="58">
        <f t="shared" si="10"/>
        <v>0</v>
      </c>
      <c r="U25" s="58">
        <f t="shared" si="10"/>
        <v>0</v>
      </c>
      <c r="V25" s="58">
        <f t="shared" si="10"/>
        <v>0</v>
      </c>
      <c r="W25" s="58">
        <f t="shared" si="10"/>
        <v>0</v>
      </c>
      <c r="X25" s="58">
        <f t="shared" si="10"/>
        <v>0</v>
      </c>
      <c r="Y25" s="58">
        <f t="shared" si="10"/>
        <v>0</v>
      </c>
      <c r="Z25" s="58">
        <f t="shared" si="10"/>
        <v>0</v>
      </c>
      <c r="AA25" s="58">
        <f t="shared" si="10"/>
        <v>0</v>
      </c>
      <c r="AB25" s="58">
        <f t="shared" si="10"/>
        <v>0</v>
      </c>
      <c r="AC25" s="58">
        <f t="shared" si="10"/>
        <v>0</v>
      </c>
      <c r="AD25" s="58">
        <f t="shared" si="10"/>
        <v>0</v>
      </c>
      <c r="AE25" s="58">
        <f t="shared" si="10"/>
        <v>0</v>
      </c>
    </row>
    <row r="26" spans="1:31" s="15" customFormat="1" x14ac:dyDescent="0.25">
      <c r="A26" s="65" t="s">
        <v>325</v>
      </c>
      <c r="B26" s="57">
        <f>B13-B10+B25</f>
        <v>236365.87008500006</v>
      </c>
      <c r="C26" s="57">
        <f>C13-C10+C25</f>
        <v>236365.87008500006</v>
      </c>
      <c r="D26" s="57">
        <f>D13-D10+D25</f>
        <v>236365.87008500006</v>
      </c>
      <c r="E26" s="57">
        <f>E13-E10+E25</f>
        <v>236365.87008500006</v>
      </c>
      <c r="F26" s="57">
        <f>F13-F10+F25</f>
        <v>236365.87008500006</v>
      </c>
      <c r="G26" s="57">
        <f>G13-G10+G25</f>
        <v>236365.87008500006</v>
      </c>
      <c r="H26" s="57">
        <f>H13-H10+H25</f>
        <v>236365.87008500006</v>
      </c>
      <c r="I26" s="57">
        <f>I13-I10+I25</f>
        <v>236365.87008500006</v>
      </c>
      <c r="J26" s="57">
        <f>J13-J10+J25</f>
        <v>236365.87008500006</v>
      </c>
      <c r="K26" s="57">
        <f>K13-K10+K25</f>
        <v>236365.87008500006</v>
      </c>
      <c r="L26" s="57">
        <f>L13-L10+L25</f>
        <v>236365.87008500006</v>
      </c>
      <c r="M26" s="57">
        <f>M13-M10+M25</f>
        <v>236365.87008500006</v>
      </c>
      <c r="N26" s="57">
        <f>N13-N10+N25</f>
        <v>236365.87008500006</v>
      </c>
      <c r="O26" s="57">
        <f>O13-O10+O25</f>
        <v>236365.87008500006</v>
      </c>
      <c r="P26" s="57">
        <f>P13-P10+P25</f>
        <v>236365.87008500006</v>
      </c>
      <c r="Q26" s="57">
        <f>Q13-Q10+Q25</f>
        <v>236365.87008500006</v>
      </c>
      <c r="R26" s="57">
        <f>R13-R10+R25</f>
        <v>236365.87008500006</v>
      </c>
      <c r="S26" s="57">
        <f>S13-S10+S25</f>
        <v>236365.87008500006</v>
      </c>
      <c r="T26" s="57">
        <f>T13-T10+T25</f>
        <v>236365.87008500006</v>
      </c>
      <c r="U26" s="57">
        <f>U13-U10+U25</f>
        <v>236365.87008500006</v>
      </c>
      <c r="V26" s="57">
        <f>V13-V10+V25</f>
        <v>236365.87008500006</v>
      </c>
      <c r="W26" s="57">
        <f>W13-W10+W25</f>
        <v>236365.87008500006</v>
      </c>
      <c r="X26" s="57">
        <f>X13-X10+X25</f>
        <v>236365.87008500006</v>
      </c>
      <c r="Y26" s="57">
        <f>Y13-Y10+Y25</f>
        <v>236365.87008500006</v>
      </c>
      <c r="Z26" s="57">
        <f>Z13-Z10+Z25</f>
        <v>236365.87008500006</v>
      </c>
      <c r="AA26" s="57">
        <f>AA13-AA10+AA25</f>
        <v>236365.87008500006</v>
      </c>
      <c r="AB26" s="57">
        <f>AB13-AB10+AB25</f>
        <v>236365.87008500006</v>
      </c>
      <c r="AC26" s="57">
        <f>AC13-AC10+AC25</f>
        <v>236365.87008500006</v>
      </c>
      <c r="AD26" s="57">
        <f>AD13-AD10+AD25</f>
        <v>236365.87008500006</v>
      </c>
      <c r="AE26" s="57">
        <f>AE13-AE10+AE25</f>
        <v>236365.87008500006</v>
      </c>
    </row>
    <row r="27" spans="1:31" s="15" customFormat="1" x14ac:dyDescent="0.25">
      <c r="A27" s="65" t="s">
        <v>44</v>
      </c>
      <c r="B27" s="58">
        <f xml:space="preserve"> NPV(3%,B26:$AE26)</f>
        <v>4632875.3736174349</v>
      </c>
      <c r="C27" s="58">
        <f xml:space="preserve"> NPV(3%,C26:$AE26)</f>
        <v>4535495.7647409579</v>
      </c>
      <c r="D27" s="58">
        <f xml:space="preserve"> NPV(3%,D26:$AE26)</f>
        <v>4435194.7675981866</v>
      </c>
      <c r="E27" s="58">
        <f xml:space="preserve"> NPV(3%,E26:$AE26)</f>
        <v>4331884.7405411322</v>
      </c>
      <c r="F27" s="58">
        <f xml:space="preserve"> NPV(3%,F26:$AE26)</f>
        <v>4225475.412672366</v>
      </c>
      <c r="G27" s="58">
        <f xml:space="preserve"> NPV(3%,G26:$AE26)</f>
        <v>4115873.8049675375</v>
      </c>
      <c r="H27" s="58">
        <f xml:space="preserve"> NPV(3%,H26:$AE26)</f>
        <v>4002984.1490315632</v>
      </c>
      <c r="I27" s="58">
        <f xml:space="preserve"> NPV(3%,I26:$AE26)</f>
        <v>3886707.8034175104</v>
      </c>
      <c r="J27" s="58">
        <f xml:space="preserve"> NPV(3%,J26:$AE26)</f>
        <v>3766943.1674350356</v>
      </c>
      <c r="K27" s="58">
        <f xml:space="preserve"> NPV(3%,K26:$AE26)</f>
        <v>3643585.5923730866</v>
      </c>
      <c r="L27" s="58">
        <f xml:space="preserve"> NPV(3%,L26:$AE26)</f>
        <v>3516527.2900592792</v>
      </c>
      <c r="M27" s="58">
        <f xml:space="preserve"> NPV(3%,M26:$AE26)</f>
        <v>3385657.2386760577</v>
      </c>
      <c r="N27" s="58">
        <f xml:space="preserve"> NPV(3%,N26:$AE26)</f>
        <v>3250861.0857513393</v>
      </c>
      <c r="O27" s="58">
        <f xml:space="preserve"> NPV(3%,O26:$AE26)</f>
        <v>3112021.0482388795</v>
      </c>
      <c r="P27" s="58">
        <f xml:space="preserve"> NPV(3%,P26:$AE26)</f>
        <v>2969015.8096010461</v>
      </c>
      <c r="Q27" s="58">
        <f xml:space="preserve"> NPV(3%,Q26:$AE26)</f>
        <v>2821720.4138040775</v>
      </c>
      <c r="R27" s="58">
        <f xml:space="preserve"> NPV(3%,R26:$AE26)</f>
        <v>2670006.1561332</v>
      </c>
      <c r="S27" s="58">
        <f xml:space="preserve"> NPV(3%,S26:$AE26)</f>
        <v>2513740.4707321962</v>
      </c>
      <c r="T27" s="58">
        <f xml:space="preserve"> NPV(3%,T26:$AE26)</f>
        <v>2352786.8147691623</v>
      </c>
      <c r="U27" s="58">
        <f xml:space="preserve"> NPV(3%,U26:$AE26)</f>
        <v>2187004.5491272374</v>
      </c>
      <c r="V27" s="58">
        <f xml:space="preserve"> NPV(3%,V26:$AE26)</f>
        <v>2016248.8155160546</v>
      </c>
      <c r="W27" s="58">
        <f xml:space="preserve"> NPV(3%,W26:$AE26)</f>
        <v>1840370.4098965363</v>
      </c>
      <c r="X27" s="58">
        <f xml:space="preserve"> NPV(3%,X26:$AE26)</f>
        <v>1659215.6521084323</v>
      </c>
      <c r="Y27" s="58">
        <f xml:space="preserve"> NPV(3%,Y26:$AE26)</f>
        <v>1472626.2515866852</v>
      </c>
      <c r="Z27" s="58">
        <f xml:space="preserve"> NPV(3%,Z26:$AE26)</f>
        <v>1280439.1690492858</v>
      </c>
      <c r="AA27" s="58">
        <f xml:space="preserve"> NPV(3%,AA26:$AE26)</f>
        <v>1082486.4740357643</v>
      </c>
      <c r="AB27" s="58">
        <f xml:space="preserve"> NPV(3%,AB26:$AE26)</f>
        <v>878595.19817183714</v>
      </c>
      <c r="AC27" s="58">
        <f xml:space="preserve"> NPV(3%,AC26:$AE26)</f>
        <v>668587.1840319921</v>
      </c>
      <c r="AD27" s="58">
        <f xml:space="preserve"> NPV(3%,AD26:$AE26)</f>
        <v>452278.92946795188</v>
      </c>
      <c r="AE27" s="58">
        <f xml:space="preserve"> NPV(3%,AE26:$AE26)</f>
        <v>229481.42726699036</v>
      </c>
    </row>
    <row r="28" spans="1:31" s="15" customFormat="1" x14ac:dyDescent="0.25">
      <c r="A28" s="64" t="s">
        <v>359</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1" s="15" customFormat="1" x14ac:dyDescent="0.25">
      <c r="A29" s="66" t="s">
        <v>324</v>
      </c>
      <c r="B29" s="58">
        <f>69953.71258</f>
        <v>69953.712580000007</v>
      </c>
      <c r="C29" s="58">
        <f>69673.53349</f>
        <v>69673.533490000002</v>
      </c>
      <c r="D29" s="58">
        <f>67440.1908</f>
        <v>67440.190799999997</v>
      </c>
      <c r="E29" s="58">
        <f>70846.66763</f>
        <v>70846.667629999996</v>
      </c>
      <c r="F29" s="58">
        <f>73844.37239</f>
        <v>73844.372390000004</v>
      </c>
      <c r="G29" s="58">
        <f>69122.45039</f>
        <v>69122.450389999998</v>
      </c>
      <c r="H29" s="58">
        <f>70935.53385</f>
        <v>70935.533850000007</v>
      </c>
      <c r="I29" s="58">
        <f>68245.13261</f>
        <v>68245.132610000001</v>
      </c>
      <c r="J29" s="58">
        <f>70026.62335</f>
        <v>70026.623349999994</v>
      </c>
      <c r="K29" s="58">
        <f>71648.35236</f>
        <v>71648.352360000004</v>
      </c>
      <c r="L29" s="58">
        <f>66941.13339</f>
        <v>66941.133390000003</v>
      </c>
      <c r="M29" s="58">
        <f>68354.9631</f>
        <v>68354.963099999994</v>
      </c>
      <c r="N29" s="58">
        <f>70800.48133</f>
        <v>70800.481329999995</v>
      </c>
      <c r="O29" s="58">
        <f>71045.17193</f>
        <v>71045.171929999997</v>
      </c>
      <c r="P29" s="58">
        <f>70656.758</f>
        <v>70656.758000000002</v>
      </c>
      <c r="Q29" s="58">
        <f>72522.86186</f>
        <v>72522.861860000005</v>
      </c>
      <c r="R29" s="58">
        <f>68072.81953</f>
        <v>68072.819529999993</v>
      </c>
      <c r="S29" s="58">
        <f>67099.103</f>
        <v>67099.103000000003</v>
      </c>
      <c r="T29" s="58">
        <f>67798.95694</f>
        <v>67798.956940000004</v>
      </c>
      <c r="U29" s="58">
        <f>63892.99423</f>
        <v>63892.994229999997</v>
      </c>
      <c r="V29" s="58">
        <f>65202.6873</f>
        <v>65202.687299999998</v>
      </c>
      <c r="W29" s="58">
        <f>73184.0872</f>
        <v>73184.087199999994</v>
      </c>
      <c r="X29" s="58">
        <f>69421.29975</f>
        <v>69421.299750000006</v>
      </c>
      <c r="Y29" s="58">
        <f>69930.1494</f>
        <v>69930.149399999995</v>
      </c>
      <c r="Z29" s="58">
        <f>70251.18742</f>
        <v>70251.187420000002</v>
      </c>
      <c r="AA29" s="58">
        <f>65728.72698</f>
        <v>65728.726980000007</v>
      </c>
      <c r="AB29" s="58">
        <f>76100.99419</f>
        <v>76100.994189999998</v>
      </c>
      <c r="AC29" s="58">
        <f>67900.2877</f>
        <v>67900.287700000001</v>
      </c>
      <c r="AD29" s="58">
        <f>68241.82948</f>
        <v>68241.82948</v>
      </c>
      <c r="AE29" s="58">
        <f>208534.9516</f>
        <v>208534.9516</v>
      </c>
    </row>
    <row r="30" spans="1:31" s="15" customFormat="1" x14ac:dyDescent="0.25">
      <c r="A30" s="66" t="s">
        <v>385</v>
      </c>
      <c r="B30" s="58">
        <f>1420703.308</f>
        <v>1420703.308</v>
      </c>
      <c r="C30" s="58">
        <f>1393370.695</f>
        <v>1393370.6950000001</v>
      </c>
      <c r="D30" s="58">
        <f>1365498.282</f>
        <v>1365498.2819999999</v>
      </c>
      <c r="E30" s="58">
        <f>1339023.04</f>
        <v>1339023.04</v>
      </c>
      <c r="F30" s="58">
        <f>1308347.063</f>
        <v>1308347.0630000001</v>
      </c>
      <c r="G30" s="58">
        <f>1273753.103</f>
        <v>1273753.1029999999</v>
      </c>
      <c r="H30" s="58">
        <f>1242843.246</f>
        <v>1242843.246</v>
      </c>
      <c r="I30" s="58">
        <f>1209193.009</f>
        <v>1209193.0090000001</v>
      </c>
      <c r="J30" s="58">
        <f>1177223.667</f>
        <v>1177223.6669999999</v>
      </c>
      <c r="K30" s="58">
        <f>1142513.753</f>
        <v>1142513.753</v>
      </c>
      <c r="L30" s="58">
        <f>1105140.814</f>
        <v>1105140.814</v>
      </c>
      <c r="M30" s="58">
        <f>1071353.905</f>
        <v>1071353.905</v>
      </c>
      <c r="N30" s="58">
        <f>1035139.559</f>
        <v>1035139.559</v>
      </c>
      <c r="O30" s="58">
        <f>995393.2642</f>
        <v>995393.26419999998</v>
      </c>
      <c r="P30" s="58">
        <f>954209.8902</f>
        <v>954209.89020000002</v>
      </c>
      <c r="Q30" s="58">
        <f>912179.4289</f>
        <v>912179.42890000006</v>
      </c>
      <c r="R30" s="58">
        <f>867021.9499</f>
        <v>867021.94990000001</v>
      </c>
      <c r="S30" s="58">
        <f>824959.7889</f>
        <v>824959.78890000004</v>
      </c>
      <c r="T30" s="58">
        <f>782609.4796</f>
        <v>782609.47959999996</v>
      </c>
      <c r="U30" s="58">
        <f>738288.807</f>
        <v>738288.80700000003</v>
      </c>
      <c r="V30" s="58">
        <f>696544.477</f>
        <v>696544.47699999996</v>
      </c>
      <c r="W30" s="58">
        <f>652238.124</f>
        <v>652238.12399999995</v>
      </c>
      <c r="X30" s="58">
        <f>598621.1805</f>
        <v>598621.18050000002</v>
      </c>
      <c r="Y30" s="58">
        <f>547158.5162</f>
        <v>547158.51619999995</v>
      </c>
      <c r="Z30" s="58">
        <f>493643.1223</f>
        <v>493643.12229999999</v>
      </c>
      <c r="AA30" s="58">
        <f>438201.2286</f>
        <v>438201.22859999997</v>
      </c>
      <c r="AB30" s="58">
        <f>385618.5384</f>
        <v>385618.53840000002</v>
      </c>
      <c r="AC30" s="58">
        <f>321086.1004</f>
        <v>321086.1004</v>
      </c>
      <c r="AD30" s="58">
        <f>262818.3957</f>
        <v>262818.39569999999</v>
      </c>
      <c r="AE30" s="58">
        <f>202461.1181</f>
        <v>202461.11809999999</v>
      </c>
    </row>
    <row r="31" spans="1:31" s="15" customFormat="1" x14ac:dyDescent="0.25">
      <c r="A31" s="67" t="s">
        <v>386</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1" s="15" customFormat="1" x14ac:dyDescent="0.25">
      <c r="A32" s="66" t="s">
        <v>324</v>
      </c>
      <c r="B32" s="58">
        <f>69953.71258</f>
        <v>69953.712580000007</v>
      </c>
      <c r="C32" s="58">
        <f>76561.92565</f>
        <v>76561.925650000005</v>
      </c>
      <c r="D32" s="58">
        <f>84527.17074</f>
        <v>84527.170740000001</v>
      </c>
      <c r="E32" s="58">
        <f>94690.93048</f>
        <v>94690.930479999995</v>
      </c>
      <c r="F32" s="58">
        <f>104130.9813</f>
        <v>104130.9813</v>
      </c>
      <c r="G32" s="58">
        <f>107631.4281</f>
        <v>107631.4281</v>
      </c>
      <c r="H32" s="58">
        <f>115260.9609</f>
        <v>115260.96090000001</v>
      </c>
      <c r="I32" s="58">
        <f>120577.4579</f>
        <v>120577.45789999999</v>
      </c>
      <c r="J32" s="58">
        <f>130677.4618</f>
        <v>130677.4618</v>
      </c>
      <c r="K32" s="58">
        <f>139261.9009</f>
        <v>139261.90090000001</v>
      </c>
      <c r="L32" s="58">
        <f>143769.3531</f>
        <v>143769.35310000001</v>
      </c>
      <c r="M32" s="58">
        <f>152429.3381</f>
        <v>152429.33809999999</v>
      </c>
      <c r="N32" s="58">
        <f>160411.6539</f>
        <v>160411.6539</v>
      </c>
      <c r="O32" s="58">
        <f>167487.1019</f>
        <v>167487.10190000001</v>
      </c>
      <c r="P32" s="58">
        <f>172930.7471</f>
        <v>172930.74710000001</v>
      </c>
      <c r="Q32" s="58">
        <f>184820.172</f>
        <v>184820.17199999999</v>
      </c>
      <c r="R32" s="58">
        <f>191338.2042</f>
        <v>191338.20420000001</v>
      </c>
      <c r="S32" s="58">
        <f>195706.2341</f>
        <v>195706.2341</v>
      </c>
      <c r="T32" s="58">
        <f>204306.0911</f>
        <v>204306.09109999999</v>
      </c>
      <c r="U32" s="58">
        <f>208682.8607</f>
        <v>208682.86069999999</v>
      </c>
      <c r="V32" s="58">
        <f>208051.0533</f>
        <v>208051.0533</v>
      </c>
      <c r="W32" s="58">
        <f>208951.2764</f>
        <v>208951.2764</v>
      </c>
      <c r="X32" s="58">
        <f>208205.3693</f>
        <v>208205.36929999999</v>
      </c>
      <c r="Y32" s="58">
        <f>210911.6787</f>
        <v>210911.67869999999</v>
      </c>
      <c r="Z32" s="58">
        <f>207556.7654</f>
        <v>207556.7654</v>
      </c>
      <c r="AA32" s="58">
        <f>208019.7322</f>
        <v>208019.7322</v>
      </c>
      <c r="AB32" s="58">
        <f>208146.286</f>
        <v>208146.28599999999</v>
      </c>
      <c r="AC32" s="58">
        <f>209118.2351</f>
        <v>209118.23509999999</v>
      </c>
      <c r="AD32" s="58">
        <f>209182.6</f>
        <v>209182.6</v>
      </c>
      <c r="AE32" s="58">
        <f>208534.9516</f>
        <v>208534.9516</v>
      </c>
    </row>
    <row r="33" spans="1:31" s="15" customFormat="1" x14ac:dyDescent="0.25">
      <c r="A33" s="66" t="s">
        <v>385</v>
      </c>
      <c r="B33" s="58">
        <f>2979405.477</f>
        <v>2979405.477</v>
      </c>
      <c r="C33" s="58">
        <f>2998833.929</f>
        <v>2998833.929</v>
      </c>
      <c r="D33" s="58">
        <f>3012237.021</f>
        <v>3012237.0210000002</v>
      </c>
      <c r="E33" s="58">
        <f>3018076.961</f>
        <v>3018076.9610000001</v>
      </c>
      <c r="F33" s="58">
        <f>3013928.339</f>
        <v>3013928.3390000002</v>
      </c>
      <c r="G33" s="58">
        <f>3000215.208</f>
        <v>3000215.2080000001</v>
      </c>
      <c r="H33" s="58">
        <f>2982590.236</f>
        <v>2982590.236</v>
      </c>
      <c r="I33" s="58">
        <f>2956806.983</f>
        <v>2956806.983</v>
      </c>
      <c r="J33" s="58">
        <f>2924933.734</f>
        <v>2924933.7340000002</v>
      </c>
      <c r="K33" s="58">
        <f>2882004.284</f>
        <v>2882004.284</v>
      </c>
      <c r="L33" s="58">
        <f>2829202.512</f>
        <v>2829202.5120000001</v>
      </c>
      <c r="M33" s="58">
        <f>2770309.234</f>
        <v>2770309.2340000002</v>
      </c>
      <c r="N33" s="58">
        <f>2700989.173</f>
        <v>2700989.173</v>
      </c>
      <c r="O33" s="58">
        <f>2621607.194</f>
        <v>2621607.1940000001</v>
      </c>
      <c r="P33" s="58">
        <f>2532768.308</f>
        <v>2532768.3080000002</v>
      </c>
      <c r="Q33" s="58">
        <f>2435820.611</f>
        <v>2435820.611</v>
      </c>
      <c r="R33" s="58">
        <f>2324075.057</f>
        <v>2324075.057</v>
      </c>
      <c r="S33" s="58">
        <f>2202459.104</f>
        <v>2202459.1039999998</v>
      </c>
      <c r="T33" s="58">
        <f>2072826.643</f>
        <v>2072826.6429999999</v>
      </c>
      <c r="U33" s="58">
        <f>1930705.352</f>
        <v>1930705.352</v>
      </c>
      <c r="V33" s="58">
        <f>1779943.651</f>
        <v>1779943.6510000001</v>
      </c>
      <c r="W33" s="58">
        <f>1625290.908</f>
        <v>1625290.9080000001</v>
      </c>
      <c r="X33" s="58">
        <f>1465098.359</f>
        <v>1465098.3589999999</v>
      </c>
      <c r="Y33" s="58">
        <f>1300845.94</f>
        <v>1300845.94</v>
      </c>
      <c r="Z33" s="58">
        <f>1128959.639</f>
        <v>1128959.639</v>
      </c>
      <c r="AA33" s="58">
        <f>955271.6633</f>
        <v>955271.66330000001</v>
      </c>
      <c r="AB33" s="58">
        <f>775910.0809</f>
        <v>775910.08089999994</v>
      </c>
      <c r="AC33" s="58">
        <f>591041.0974</f>
        <v>591041.09739999997</v>
      </c>
      <c r="AD33" s="58">
        <f>399654.0952</f>
        <v>399654.09519999998</v>
      </c>
      <c r="AE33" s="58">
        <f>202461.1181</f>
        <v>202461.11809999999</v>
      </c>
    </row>
    <row r="34" spans="1:31" s="15" customFormat="1" x14ac:dyDescent="0.25">
      <c r="A34" s="67" t="s">
        <v>388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s="15" customFormat="1" x14ac:dyDescent="0.25">
      <c r="A35" s="66" t="s">
        <v>324</v>
      </c>
      <c r="B35" s="58">
        <f>69953.71258</f>
        <v>69953.712580000007</v>
      </c>
      <c r="C35" s="58">
        <f>75007.26128</f>
        <v>75007.261280000006</v>
      </c>
      <c r="D35" s="58">
        <f>80578.31743</f>
        <v>80578.317429999996</v>
      </c>
      <c r="E35" s="58">
        <f>88330.57805</f>
        <v>88330.578049999996</v>
      </c>
      <c r="F35" s="58">
        <f>96166.90537</f>
        <v>96166.905369999993</v>
      </c>
      <c r="G35" s="58">
        <f>97595.9641</f>
        <v>97595.964099999997</v>
      </c>
      <c r="H35" s="58">
        <f>103840.7914</f>
        <v>103840.7914</v>
      </c>
      <c r="I35" s="58">
        <f>107776.231</f>
        <v>107776.231</v>
      </c>
      <c r="J35" s="58">
        <f>115563.9038</f>
        <v>115563.9038</v>
      </c>
      <c r="K35" s="58">
        <f>120375.5153</f>
        <v>120375.5153</v>
      </c>
      <c r="L35" s="58">
        <f>123453.2937</f>
        <v>123453.29369999999</v>
      </c>
      <c r="M35" s="58">
        <f>128744.9093</f>
        <v>128744.9093</v>
      </c>
      <c r="N35" s="58">
        <f>136569.6691</f>
        <v>136569.6691</v>
      </c>
      <c r="O35" s="58">
        <f>143091.6366</f>
        <v>143091.6366</v>
      </c>
      <c r="P35" s="58">
        <f>147817.5248</f>
        <v>147817.52480000001</v>
      </c>
      <c r="Q35" s="58">
        <f>154924.1924</f>
        <v>154924.1924</v>
      </c>
      <c r="R35" s="58">
        <f>158197.902</f>
        <v>158197.902</v>
      </c>
      <c r="S35" s="58">
        <f>160401.6189</f>
        <v>160401.6189</v>
      </c>
      <c r="T35" s="58">
        <f>169134.9336</f>
        <v>169134.93359999999</v>
      </c>
      <c r="U35" s="58">
        <f>174843.2266</f>
        <v>174843.22659999999</v>
      </c>
      <c r="V35" s="58">
        <f>180694.2856</f>
        <v>180694.2856</v>
      </c>
      <c r="W35" s="58">
        <f>187951.1207</f>
        <v>187951.1207</v>
      </c>
      <c r="X35" s="58">
        <f>192044.4717</f>
        <v>192044.47169999999</v>
      </c>
      <c r="Y35" s="58">
        <f>199483.3764</f>
        <v>199483.37640000001</v>
      </c>
      <c r="Z35" s="58">
        <f>202851.2601</f>
        <v>202851.26010000001</v>
      </c>
      <c r="AA35" s="58">
        <f>208019.7322</f>
        <v>208019.7322</v>
      </c>
      <c r="AB35" s="58">
        <f>208146.286</f>
        <v>208146.28599999999</v>
      </c>
      <c r="AC35" s="58">
        <f>209118.2351</f>
        <v>209118.23509999999</v>
      </c>
      <c r="AD35" s="58">
        <f>209182.6</f>
        <v>209182.6</v>
      </c>
      <c r="AE35" s="58">
        <f>208534.9516</f>
        <v>208534.9516</v>
      </c>
    </row>
    <row r="36" spans="1:31" s="15" customFormat="1" x14ac:dyDescent="0.25">
      <c r="A36" s="66" t="s">
        <v>375</v>
      </c>
      <c r="B36" s="58">
        <f>2688666.408</f>
        <v>2688666.4079999998</v>
      </c>
      <c r="C36" s="58">
        <f>2699372.687</f>
        <v>2699372.6869999999</v>
      </c>
      <c r="D36" s="58">
        <f>2705346.607</f>
        <v>2705346.6069999998</v>
      </c>
      <c r="E36" s="58">
        <f>2705928.688</f>
        <v>2705928.6880000001</v>
      </c>
      <c r="F36" s="58">
        <f>2698775.97</f>
        <v>2698775.97</v>
      </c>
      <c r="G36" s="58">
        <f>2683572.344</f>
        <v>2683572.344</v>
      </c>
      <c r="H36" s="58">
        <f>2666483.55</f>
        <v>2666483.5499999998</v>
      </c>
      <c r="I36" s="58">
        <f>2642637.265</f>
        <v>2642637.2650000001</v>
      </c>
      <c r="J36" s="58">
        <f>2614140.152</f>
        <v>2614140.1519999998</v>
      </c>
      <c r="K36" s="58">
        <f>2577000.453</f>
        <v>2577000.4530000002</v>
      </c>
      <c r="L36" s="58">
        <f>2533934.951</f>
        <v>2533934.9509999999</v>
      </c>
      <c r="M36" s="58">
        <f>2486499.706</f>
        <v>2486499.7059999998</v>
      </c>
      <c r="N36" s="58">
        <f>2432349.788</f>
        <v>2432349.7880000002</v>
      </c>
      <c r="O36" s="58">
        <f>2368750.612</f>
        <v>2368750.6120000002</v>
      </c>
      <c r="P36" s="58">
        <f>2296721.494</f>
        <v>2296721.4939999999</v>
      </c>
      <c r="Q36" s="58">
        <f>2217805.614</f>
        <v>2217805.6140000001</v>
      </c>
      <c r="R36" s="58">
        <f>2129415.59</f>
        <v>2129415.59</v>
      </c>
      <c r="S36" s="58">
        <f>2035100.156</f>
        <v>2035100.156</v>
      </c>
      <c r="T36" s="58">
        <f>1935751.542</f>
        <v>1935751.5419999999</v>
      </c>
      <c r="U36" s="58">
        <f>1824689.154</f>
        <v>1824689.1540000001</v>
      </c>
      <c r="V36" s="58">
        <f>1704586.603</f>
        <v>1704586.6029999999</v>
      </c>
      <c r="W36" s="58">
        <f>1575029.915</f>
        <v>1575029.915</v>
      </c>
      <c r="X36" s="58">
        <f>1434329.692</f>
        <v>1434329.692</v>
      </c>
      <c r="Y36" s="58">
        <f>1285315.111</f>
        <v>1285315.111</v>
      </c>
      <c r="Z36" s="58">
        <f>1124391.188</f>
        <v>1124391.1880000001</v>
      </c>
      <c r="AA36" s="58">
        <f>955271.6633</f>
        <v>955271.66330000001</v>
      </c>
      <c r="AB36" s="58">
        <f>775910.0809</f>
        <v>775910.08089999994</v>
      </c>
      <c r="AC36" s="58">
        <f>591041.0974</f>
        <v>591041.09739999997</v>
      </c>
      <c r="AD36" s="58">
        <f>399654.0952</f>
        <v>399654.09519999998</v>
      </c>
      <c r="AE36" s="58">
        <f>202461.1181</f>
        <v>202461.11809999999</v>
      </c>
    </row>
    <row r="37" spans="1:31" s="15" customFormat="1" x14ac:dyDescent="0.25"/>
    <row r="38" spans="1:31" x14ac:dyDescent="0.25">
      <c r="A38" s="32" t="s">
        <v>322</v>
      </c>
    </row>
    <row r="39" spans="1:31" x14ac:dyDescent="0.25">
      <c r="A39" s="65" t="s">
        <v>323</v>
      </c>
      <c r="B39" s="60">
        <f t="shared" ref="B39:AE39" si="11">IF(B8&lt;B5*$F$98,(B5*$F$98-B8)*B12*$F$97,0)</f>
        <v>0</v>
      </c>
      <c r="C39" s="60">
        <f t="shared" si="11"/>
        <v>0</v>
      </c>
      <c r="D39" s="60">
        <f t="shared" si="11"/>
        <v>0</v>
      </c>
      <c r="E39" s="60">
        <f t="shared" si="11"/>
        <v>0</v>
      </c>
      <c r="F39" s="60">
        <f t="shared" si="11"/>
        <v>0</v>
      </c>
      <c r="G39" s="60">
        <f t="shared" si="11"/>
        <v>0</v>
      </c>
      <c r="H39" s="60">
        <f>IF(H8&lt;H5*$F$98,(H5*$F$98-H8)*H12*$F$97,0)</f>
        <v>0</v>
      </c>
      <c r="I39" s="60">
        <f t="shared" si="11"/>
        <v>0</v>
      </c>
      <c r="J39" s="60">
        <f t="shared" si="11"/>
        <v>0</v>
      </c>
      <c r="K39" s="60">
        <f t="shared" si="11"/>
        <v>0</v>
      </c>
      <c r="L39" s="60">
        <f t="shared" si="11"/>
        <v>0</v>
      </c>
      <c r="M39" s="60">
        <f t="shared" si="11"/>
        <v>0</v>
      </c>
      <c r="N39" s="60">
        <f t="shared" si="11"/>
        <v>0</v>
      </c>
      <c r="O39" s="60">
        <f t="shared" si="11"/>
        <v>0</v>
      </c>
      <c r="P39" s="60">
        <f t="shared" si="11"/>
        <v>0</v>
      </c>
      <c r="Q39" s="60">
        <f t="shared" si="11"/>
        <v>0</v>
      </c>
      <c r="R39" s="60">
        <f t="shared" si="11"/>
        <v>0</v>
      </c>
      <c r="S39" s="60">
        <f t="shared" si="11"/>
        <v>0</v>
      </c>
      <c r="T39" s="60">
        <f t="shared" si="11"/>
        <v>0</v>
      </c>
      <c r="U39" s="60">
        <f t="shared" si="11"/>
        <v>0</v>
      </c>
      <c r="V39" s="60">
        <f t="shared" si="11"/>
        <v>0</v>
      </c>
      <c r="W39" s="60">
        <f t="shared" si="11"/>
        <v>0</v>
      </c>
      <c r="X39" s="60">
        <f t="shared" si="11"/>
        <v>0</v>
      </c>
      <c r="Y39" s="60">
        <f t="shared" si="11"/>
        <v>0</v>
      </c>
      <c r="Z39" s="60">
        <f t="shared" si="11"/>
        <v>0</v>
      </c>
      <c r="AA39" s="60">
        <f t="shared" si="11"/>
        <v>0</v>
      </c>
      <c r="AB39" s="60">
        <f t="shared" si="11"/>
        <v>0</v>
      </c>
      <c r="AC39" s="60">
        <f t="shared" si="11"/>
        <v>0</v>
      </c>
      <c r="AD39" s="60">
        <f t="shared" si="11"/>
        <v>0</v>
      </c>
      <c r="AE39" s="60">
        <f t="shared" si="11"/>
        <v>0</v>
      </c>
    </row>
    <row r="40" spans="1:31" x14ac:dyDescent="0.25">
      <c r="A40" s="65" t="s">
        <v>320</v>
      </c>
      <c r="B40" s="57">
        <f>B13-B11+B39</f>
        <v>205565.87008500006</v>
      </c>
      <c r="C40" s="57">
        <f>C13-C11+C39</f>
        <v>205565.87008500006</v>
      </c>
      <c r="D40" s="57">
        <f>D13-D11+D39</f>
        <v>205565.87008500006</v>
      </c>
      <c r="E40" s="57">
        <f>E13-E11+E39</f>
        <v>205565.87008500006</v>
      </c>
      <c r="F40" s="57">
        <f>F13-F11+F39</f>
        <v>205565.87008500006</v>
      </c>
      <c r="G40" s="57">
        <f>G13-G11+G39</f>
        <v>205565.87008500006</v>
      </c>
      <c r="H40" s="57">
        <f>H13-H11+H39</f>
        <v>205565.87008500006</v>
      </c>
      <c r="I40" s="57">
        <f>I13-I11+I39</f>
        <v>205565.87008500006</v>
      </c>
      <c r="J40" s="57">
        <f>J13-J11+J39</f>
        <v>205565.87008500006</v>
      </c>
      <c r="K40" s="57">
        <f>K13-K11+K39</f>
        <v>205565.87008500006</v>
      </c>
      <c r="L40" s="57">
        <f>L13-L11+L39</f>
        <v>205565.87008500006</v>
      </c>
      <c r="M40" s="57">
        <f>M13-M11+M39</f>
        <v>205565.87008500006</v>
      </c>
      <c r="N40" s="57">
        <f>N13-N11+N39</f>
        <v>205565.87008500006</v>
      </c>
      <c r="O40" s="57">
        <f>O13-O11+O39</f>
        <v>205565.87008500006</v>
      </c>
      <c r="P40" s="57">
        <f>P13-P11+P39</f>
        <v>205565.87008500006</v>
      </c>
      <c r="Q40" s="57">
        <f>Q13-Q11+Q39</f>
        <v>205565.87008500006</v>
      </c>
      <c r="R40" s="57">
        <f>R13-R11+R39</f>
        <v>205565.87008500006</v>
      </c>
      <c r="S40" s="57">
        <f>S13-S11+S39</f>
        <v>205565.87008500006</v>
      </c>
      <c r="T40" s="57">
        <f>T13-T11+T39</f>
        <v>205565.87008500006</v>
      </c>
      <c r="U40" s="57">
        <f>U13-U11+U39</f>
        <v>205565.87008500006</v>
      </c>
      <c r="V40" s="57">
        <f>V13-V11+V39</f>
        <v>205565.87008500006</v>
      </c>
      <c r="W40" s="57">
        <f>W13-W11+W39</f>
        <v>205565.87008500006</v>
      </c>
      <c r="X40" s="57">
        <f>X13-X11+X39</f>
        <v>205565.87008500006</v>
      </c>
      <c r="Y40" s="57">
        <f>Y13-Y11+Y39</f>
        <v>205565.87008500006</v>
      </c>
      <c r="Z40" s="57">
        <f>Z13-Z11+Z39</f>
        <v>205565.87008500006</v>
      </c>
      <c r="AA40" s="57">
        <f>AA13-AA11+AA39</f>
        <v>205565.87008500006</v>
      </c>
      <c r="AB40" s="57">
        <f>AB13-AB11+AB39</f>
        <v>205565.87008500006</v>
      </c>
      <c r="AC40" s="57">
        <f>AC13-AC11+AC39</f>
        <v>205565.87008500006</v>
      </c>
      <c r="AD40" s="57">
        <f>AD13-AD11+AD39</f>
        <v>205565.87008500006</v>
      </c>
      <c r="AE40" s="57">
        <f>AE13-AE11+AE39</f>
        <v>205565.87008500006</v>
      </c>
    </row>
    <row r="41" spans="1:31" x14ac:dyDescent="0.25">
      <c r="A41" s="66" t="s">
        <v>326</v>
      </c>
      <c r="B41" s="58">
        <f xml:space="preserve"> NPV(3%,B40:$AE40)</f>
        <v>4029181.780053765</v>
      </c>
      <c r="C41" s="58">
        <f xml:space="preserve"> NPV(3%,C40:$AE40)</f>
        <v>3944491.363370378</v>
      </c>
      <c r="D41" s="58">
        <f xml:space="preserve"> NPV(3%,D40:$AE40)</f>
        <v>3857260.2341864896</v>
      </c>
      <c r="E41" s="58">
        <f xml:space="preserve"> NPV(3%,E40:$AE40)</f>
        <v>3767412.1711270842</v>
      </c>
      <c r="F41" s="58">
        <f xml:space="preserve"> NPV(3%,F40:$AE40)</f>
        <v>3674868.6661758972</v>
      </c>
      <c r="G41" s="58">
        <f xml:space="preserve"> NPV(3%,G40:$AE40)</f>
        <v>3579548.8560761739</v>
      </c>
      <c r="H41" s="58">
        <f xml:space="preserve"> NPV(3%,H40:$AE40)</f>
        <v>3481369.4516734593</v>
      </c>
      <c r="I41" s="58">
        <f xml:space="preserve"> NPV(3%,I40:$AE40)</f>
        <v>3380244.6651386633</v>
      </c>
      <c r="J41" s="58">
        <f xml:space="preserve"> NPV(3%,J40:$AE40)</f>
        <v>3276086.1350078234</v>
      </c>
      <c r="K41" s="58">
        <f xml:space="preserve"> NPV(3%,K40:$AE40)</f>
        <v>3168802.8489730582</v>
      </c>
      <c r="L41" s="58">
        <f xml:space="preserve"> NPV(3%,L40:$AE40)</f>
        <v>3058301.06435725</v>
      </c>
      <c r="M41" s="58">
        <f xml:space="preserve"> NPV(3%,M40:$AE40)</f>
        <v>2944484.2262029676</v>
      </c>
      <c r="N41" s="58">
        <f xml:space="preserve"> NPV(3%,N40:$AE40)</f>
        <v>2827252.8829040565</v>
      </c>
      <c r="O41" s="58">
        <f xml:space="preserve"> NPV(3%,O40:$AE40)</f>
        <v>2706504.5993061787</v>
      </c>
      <c r="P41" s="58">
        <f xml:space="preserve"> NPV(3%,P40:$AE40)</f>
        <v>2582133.8672003639</v>
      </c>
      <c r="Q41" s="58">
        <f xml:space="preserve"> NPV(3%,Q40:$AE40)</f>
        <v>2454032.013131375</v>
      </c>
      <c r="R41" s="58">
        <f xml:space="preserve"> NPV(3%,R40:$AE40)</f>
        <v>2322087.1034403164</v>
      </c>
      <c r="S41" s="58">
        <f xml:space="preserve"> NPV(3%,S40:$AE40)</f>
        <v>2186183.8464585259</v>
      </c>
      <c r="T41" s="58">
        <f xml:space="preserve"> NPV(3%,T40:$AE40)</f>
        <v>2046203.4917672814</v>
      </c>
      <c r="U41" s="58">
        <f xml:space="preserve"> NPV(3%,U40:$AE40)</f>
        <v>1902023.7264353</v>
      </c>
      <c r="V41" s="58">
        <f xml:space="preserve"> NPV(3%,V40:$AE40)</f>
        <v>1753518.5681433589</v>
      </c>
      <c r="W41" s="58">
        <f xml:space="preserve"> NPV(3%,W40:$AE40)</f>
        <v>1600558.2551026596</v>
      </c>
      <c r="X41" s="58">
        <f xml:space="preserve"> NPV(3%,X40:$AE40)</f>
        <v>1443009.1326707394</v>
      </c>
      <c r="Y41" s="58">
        <f xml:space="preserve"> NPV(3%,Y40:$AE40)</f>
        <v>1280733.5365658617</v>
      </c>
      <c r="Z41" s="58">
        <f xml:space="preserve"> NPV(3%,Z40:$AE40)</f>
        <v>1113589.6725778375</v>
      </c>
      <c r="AA41" s="58">
        <f xml:space="preserve"> NPV(3%,AA40:$AE40)</f>
        <v>941431.49267017248</v>
      </c>
      <c r="AB41" s="58">
        <f xml:space="preserve"> NPV(3%,AB40:$AE40)</f>
        <v>764108.56736527767</v>
      </c>
      <c r="AC41" s="58">
        <f xml:space="preserve"> NPV(3%,AC40:$AE40)</f>
        <v>581465.95430123596</v>
      </c>
      <c r="AD41" s="58">
        <f xml:space="preserve"> NPV(3%,AD40:$AE40)</f>
        <v>393344.062845273</v>
      </c>
      <c r="AE41" s="58">
        <f xml:space="preserve"> NPV(3%,AE40:$AE40)</f>
        <v>199578.51464563113</v>
      </c>
    </row>
    <row r="42" spans="1:31" x14ac:dyDescent="0.25">
      <c r="A42" s="64" t="s">
        <v>359</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row>
    <row r="43" spans="1:31" x14ac:dyDescent="0.25">
      <c r="A43" s="65" t="s">
        <v>324</v>
      </c>
      <c r="B43" s="57">
        <f>204078.9761</f>
        <v>204078.9761</v>
      </c>
      <c r="C43" s="57">
        <f>204527.9629</f>
        <v>204527.96290000001</v>
      </c>
      <c r="D43" s="57">
        <f>201621.6629</f>
        <v>201621.6629</v>
      </c>
      <c r="E43" s="57">
        <f>203321.572</f>
        <v>203321.57199999999</v>
      </c>
      <c r="F43" s="57">
        <f>207507.1887</f>
        <v>207507.1887</v>
      </c>
      <c r="G43" s="57">
        <f>202414.7519</f>
        <v>202414.7519</v>
      </c>
      <c r="H43" s="57">
        <f>205022.7747</f>
        <v>205022.77470000001</v>
      </c>
      <c r="I43" s="57">
        <f>201610.5029</f>
        <v>201610.50289999999</v>
      </c>
      <c r="J43" s="57">
        <f>203363.4999</f>
        <v>203363.4999</v>
      </c>
      <c r="K43" s="57">
        <f>205583.5038</f>
        <v>205583.50380000001</v>
      </c>
      <c r="L43" s="57">
        <f>202767.4516</f>
        <v>202767.4516</v>
      </c>
      <c r="M43" s="57">
        <f>202614.4353</f>
        <v>202614.43530000001</v>
      </c>
      <c r="N43" s="57">
        <f>204068.2432</f>
        <v>204068.2432</v>
      </c>
      <c r="O43" s="57">
        <f>204719.476</f>
        <v>204719.476</v>
      </c>
      <c r="P43" s="57">
        <f>204259.4321</f>
        <v>204259.43210000001</v>
      </c>
      <c r="Q43" s="57">
        <f>205265.554</f>
        <v>205265.554</v>
      </c>
      <c r="R43" s="57">
        <f>202674.2362</f>
        <v>202674.23620000001</v>
      </c>
      <c r="S43" s="57">
        <f>201576.7867</f>
        <v>201576.7867</v>
      </c>
      <c r="T43" s="57">
        <f>202562.5751</f>
        <v>202562.57509999999</v>
      </c>
      <c r="U43" s="57">
        <f>198983.9275</f>
        <v>198983.92749999999</v>
      </c>
      <c r="V43" s="57">
        <f>199292.4248</f>
        <v>199292.42480000001</v>
      </c>
      <c r="W43" s="57">
        <f>206105.7177</f>
        <v>206105.71770000001</v>
      </c>
      <c r="X43" s="57">
        <f>202918.6897</f>
        <v>202918.68969999999</v>
      </c>
      <c r="Y43" s="57">
        <f>203099.552</f>
        <v>203099.552</v>
      </c>
      <c r="Z43" s="57">
        <f>203494.4653</f>
        <v>203494.46530000001</v>
      </c>
      <c r="AA43" s="57">
        <f>200884.5244</f>
        <v>200884.52439999999</v>
      </c>
      <c r="AB43" s="57">
        <f>207127.904</f>
        <v>207127.90400000001</v>
      </c>
      <c r="AC43" s="57">
        <f>202346.3884</f>
        <v>202346.3884</v>
      </c>
      <c r="AD43" s="57">
        <f>201852.2008</f>
        <v>201852.20079999999</v>
      </c>
      <c r="AE43" s="57">
        <f>232753.8696</f>
        <v>232753.86960000001</v>
      </c>
    </row>
    <row r="44" spans="1:31" s="69" customFormat="1" x14ac:dyDescent="0.25">
      <c r="A44" s="70" t="s">
        <v>374</v>
      </c>
      <c r="B44" s="68">
        <f>3998922.792</f>
        <v>3998922.7919999999</v>
      </c>
      <c r="C44" s="68">
        <f>3914811.499</f>
        <v>3914811.4989999998</v>
      </c>
      <c r="D44" s="68">
        <f>3827727.881</f>
        <v>3827727.8810000001</v>
      </c>
      <c r="E44" s="68">
        <f>3740938.055</f>
        <v>3740938.0550000002</v>
      </c>
      <c r="F44" s="68">
        <f>3649844.625</f>
        <v>3649844.625</v>
      </c>
      <c r="G44" s="68">
        <f>3551832.775</f>
        <v>3551832.7749999999</v>
      </c>
      <c r="H44" s="68">
        <f>3455973.006</f>
        <v>3455973.0060000001</v>
      </c>
      <c r="I44" s="68">
        <f>3354629.422</f>
        <v>3354629.4219999998</v>
      </c>
      <c r="J44" s="68">
        <f>3253657.801</f>
        <v>3253657.801</v>
      </c>
      <c r="K44" s="68">
        <f>3147904.035</f>
        <v>3147904.0350000001</v>
      </c>
      <c r="L44" s="68">
        <f>3036757.653</f>
        <v>3036757.6529999999</v>
      </c>
      <c r="M44" s="68">
        <f>2925092.931</f>
        <v>2925092.9309999999</v>
      </c>
      <c r="N44" s="68">
        <f>2810231.283</f>
        <v>2810231.2829999998</v>
      </c>
      <c r="O44" s="68">
        <f>2690469.978</f>
        <v>2690469.9780000001</v>
      </c>
      <c r="P44" s="68">
        <f>2566464.602</f>
        <v>2566464.602</v>
      </c>
      <c r="Q44" s="68">
        <f>2439199.108</f>
        <v>2439199.108</v>
      </c>
      <c r="R44" s="68">
        <f>2307109.527</f>
        <v>2307109.5269999998</v>
      </c>
      <c r="S44" s="68">
        <f>2173648.577</f>
        <v>2173648.577</v>
      </c>
      <c r="T44" s="68">
        <f>2037281.247</f>
        <v>2037281.247</v>
      </c>
      <c r="U44" s="68">
        <f>1895837.11</f>
        <v>1895837.11</v>
      </c>
      <c r="V44" s="68">
        <f>1753728.295</f>
        <v>1753728.2949999999</v>
      </c>
      <c r="W44" s="68">
        <f>1607047.719</f>
        <v>1607047.719</v>
      </c>
      <c r="X44" s="68">
        <f>1449153.433</f>
        <v>1449153.433</v>
      </c>
      <c r="Y44" s="68">
        <f>1289709.347</f>
        <v>1289709.3470000001</v>
      </c>
      <c r="Z44" s="68">
        <f>1125301.075</f>
        <v>1125301.075</v>
      </c>
      <c r="AA44" s="68">
        <f>955565.642</f>
        <v>955565.64199999999</v>
      </c>
      <c r="AB44" s="68">
        <f>783348.0869</f>
        <v>783348.08689999999</v>
      </c>
      <c r="AC44" s="68">
        <f>599720.6255</f>
        <v>599720.62549999997</v>
      </c>
      <c r="AD44" s="68">
        <f>415365.8558</f>
        <v>415365.85580000002</v>
      </c>
      <c r="AE44" s="68">
        <f>225974.6307</f>
        <v>225974.63070000001</v>
      </c>
    </row>
    <row r="45" spans="1:31" x14ac:dyDescent="0.25">
      <c r="A45" s="64" t="s">
        <v>386</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row>
    <row r="46" spans="1:31" x14ac:dyDescent="0.25">
      <c r="A46" s="66" t="s">
        <v>324</v>
      </c>
      <c r="B46" s="58">
        <f>204078.9761</f>
        <v>204078.9761</v>
      </c>
      <c r="C46" s="58">
        <f>205444.2052</f>
        <v>205444.2052</v>
      </c>
      <c r="D46" s="58">
        <f>206568.9154</f>
        <v>206568.9154</v>
      </c>
      <c r="E46" s="58">
        <f>209216.9901</f>
        <v>209216.9901</v>
      </c>
      <c r="F46" s="58">
        <f>213845.6581</f>
        <v>213845.6581</v>
      </c>
      <c r="G46" s="58">
        <f>211061.1043</f>
        <v>211061.10430000001</v>
      </c>
      <c r="H46" s="58">
        <f>213671.7037</f>
        <v>213671.70370000001</v>
      </c>
      <c r="I46" s="58">
        <f>212302.0316</f>
        <v>212302.03159999999</v>
      </c>
      <c r="J46" s="58">
        <f>216113.9121</f>
        <v>216113.91209999999</v>
      </c>
      <c r="K46" s="58">
        <f>219664.4619</f>
        <v>219664.46189999999</v>
      </c>
      <c r="L46" s="58">
        <f>219339.5634</f>
        <v>219339.56340000001</v>
      </c>
      <c r="M46" s="58">
        <f>221313.3714</f>
        <v>221313.3714</v>
      </c>
      <c r="N46" s="58">
        <f>223137.9887</f>
        <v>223137.98869999999</v>
      </c>
      <c r="O46" s="58">
        <f>224779.0296</f>
        <v>224779.02960000001</v>
      </c>
      <c r="P46" s="58">
        <f>224016.9119</f>
        <v>224016.91190000001</v>
      </c>
      <c r="Q46" s="58">
        <f>229305.319</f>
        <v>229305.31899999999</v>
      </c>
      <c r="R46" s="58">
        <f>230168.3882</f>
        <v>230168.38819999999</v>
      </c>
      <c r="S46" s="58">
        <f>229025.407</f>
        <v>229025.40700000001</v>
      </c>
      <c r="T46" s="58">
        <f>231871.1851</f>
        <v>231871.1851</v>
      </c>
      <c r="U46" s="58">
        <f>232894.8161</f>
        <v>232894.8161</v>
      </c>
      <c r="V46" s="58">
        <f>232026.6267</f>
        <v>232026.62669999999</v>
      </c>
      <c r="W46" s="58">
        <f>233389.6611</f>
        <v>233389.6611</v>
      </c>
      <c r="X46" s="58">
        <f>232477.556</f>
        <v>232477.55600000001</v>
      </c>
      <c r="Y46" s="58">
        <f>234269.0451</f>
        <v>234269.04509999999</v>
      </c>
      <c r="Z46" s="58">
        <f>231498.155</f>
        <v>231498.155</v>
      </c>
      <c r="AA46" s="58">
        <f>231906.9352</f>
        <v>231906.93520000001</v>
      </c>
      <c r="AB46" s="58">
        <f>232260.9589</f>
        <v>232260.9589</v>
      </c>
      <c r="AC46" s="58">
        <f>232913.7952</f>
        <v>232913.79519999999</v>
      </c>
      <c r="AD46" s="58">
        <f>232735.8513</f>
        <v>232735.85130000001</v>
      </c>
      <c r="AE46" s="58">
        <f>232753.8696</f>
        <v>232753.86960000001</v>
      </c>
    </row>
    <row r="47" spans="1:31" x14ac:dyDescent="0.25">
      <c r="A47" s="66" t="s">
        <v>385</v>
      </c>
      <c r="B47" s="58">
        <f>4332913.034</f>
        <v>4332913.034</v>
      </c>
      <c r="C47" s="58">
        <f>4258821.448</f>
        <v>4258821.4479999999</v>
      </c>
      <c r="D47" s="58">
        <f>4181141.887</f>
        <v>4181141.8870000001</v>
      </c>
      <c r="E47" s="58">
        <f>4100007.228</f>
        <v>4100007.2280000001</v>
      </c>
      <c r="F47" s="58">
        <f>4013790.455</f>
        <v>4013790.4550000001</v>
      </c>
      <c r="G47" s="58">
        <f>3920358.51</f>
        <v>3920358.51</v>
      </c>
      <c r="H47" s="58">
        <f>3826908.161</f>
        <v>3826908.1609999998</v>
      </c>
      <c r="I47" s="58">
        <f>3728043.702</f>
        <v>3728043.702</v>
      </c>
      <c r="J47" s="58">
        <f>3627582.982</f>
        <v>3627582.9819999998</v>
      </c>
      <c r="K47" s="58">
        <f>3520296.559</f>
        <v>3520296.5589999999</v>
      </c>
      <c r="L47" s="58">
        <f>3406240.994</f>
        <v>3406240.9939999999</v>
      </c>
      <c r="M47" s="58">
        <f>3289088.661</f>
        <v>3289088.6609999998</v>
      </c>
      <c r="N47" s="58">
        <f>3166447.949</f>
        <v>3166447.949</v>
      </c>
      <c r="O47" s="58">
        <f>3038303.399</f>
        <v>3038303.3990000002</v>
      </c>
      <c r="P47" s="58">
        <f>2904673.471</f>
        <v>2904673.4709999999</v>
      </c>
      <c r="Q47" s="58">
        <f>2767796.763</f>
        <v>2767796.7629999998</v>
      </c>
      <c r="R47" s="58">
        <f>2621525.347</f>
        <v>2621525.3470000001</v>
      </c>
      <c r="S47" s="58">
        <f>2470002.72</f>
        <v>2470002.7200000002</v>
      </c>
      <c r="T47" s="58">
        <f>2315077.394</f>
        <v>2315077.3939999999</v>
      </c>
      <c r="U47" s="58">
        <f>2152658.531</f>
        <v>2152658.531</v>
      </c>
      <c r="V47" s="58">
        <f>1984343.471</f>
        <v>1984343.4709999999</v>
      </c>
      <c r="W47" s="58">
        <f>1811847.148</f>
        <v>1811847.148</v>
      </c>
      <c r="X47" s="58">
        <f>1632812.902</f>
        <v>1632812.902</v>
      </c>
      <c r="Y47" s="58">
        <f>1449319.733</f>
        <v>1449319.733</v>
      </c>
      <c r="Z47" s="58">
        <f>1258530.28</f>
        <v>1258530.28</v>
      </c>
      <c r="AA47" s="58">
        <f>1064788.033</f>
        <v>1064788.0330000001</v>
      </c>
      <c r="AB47" s="58">
        <f>864824.7388</f>
        <v>864824.73880000005</v>
      </c>
      <c r="AC47" s="58">
        <f>658508.522</f>
        <v>658508.522</v>
      </c>
      <c r="AD47" s="58">
        <f>445349.9825</f>
        <v>445349.98249999998</v>
      </c>
      <c r="AE47" s="58">
        <f>225974.6307</f>
        <v>225974.63070000001</v>
      </c>
    </row>
    <row r="48" spans="1:31" x14ac:dyDescent="0.25">
      <c r="A48" s="67" t="s">
        <v>388</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1:31" x14ac:dyDescent="0.25">
      <c r="A49" s="70" t="s">
        <v>324</v>
      </c>
      <c r="B49" s="58">
        <f>204078.9761</f>
        <v>204078.9761</v>
      </c>
      <c r="C49" s="58">
        <f>205292.8501</f>
        <v>205292.85010000001</v>
      </c>
      <c r="D49" s="58">
        <f>205719.0305</f>
        <v>205719.03049999999</v>
      </c>
      <c r="E49" s="58">
        <f>207746.0486</f>
        <v>207746.04860000001</v>
      </c>
      <c r="F49" s="58">
        <f>212067.2964</f>
        <v>212067.29639999999</v>
      </c>
      <c r="G49" s="58">
        <f>208578.2657</f>
        <v>208578.26569999999</v>
      </c>
      <c r="H49" s="58">
        <f>211612.0794</f>
        <v>211612.07939999999</v>
      </c>
      <c r="I49" s="58">
        <f>210166.1667</f>
        <v>210166.1667</v>
      </c>
      <c r="J49" s="58">
        <f>213796.4039</f>
        <v>213796.4039</v>
      </c>
      <c r="K49" s="58">
        <f>214936.5169</f>
        <v>214936.51689999999</v>
      </c>
      <c r="L49" s="58">
        <f>214300.928</f>
        <v>214300.92800000001</v>
      </c>
      <c r="M49" s="58">
        <f>214832.5398</f>
        <v>214832.5398</v>
      </c>
      <c r="N49" s="58">
        <f>217712.4305</f>
        <v>217712.43049999999</v>
      </c>
      <c r="O49" s="58">
        <f>220271.9064</f>
        <v>220271.90640000001</v>
      </c>
      <c r="P49" s="58">
        <f>219800.1152</f>
        <v>219800.1152</v>
      </c>
      <c r="Q49" s="58">
        <f>222249.4089</f>
        <v>222249.40890000001</v>
      </c>
      <c r="R49" s="58">
        <f>222177.9965</f>
        <v>222177.99650000001</v>
      </c>
      <c r="S49" s="58">
        <f>220242.098</f>
        <v>220242.098</v>
      </c>
      <c r="T49" s="58">
        <f>224800.975</f>
        <v>224800.97500000001</v>
      </c>
      <c r="U49" s="58">
        <f>225499.9899</f>
        <v>225499.98989999999</v>
      </c>
      <c r="V49" s="58">
        <f>226230.272</f>
        <v>226230.272</v>
      </c>
      <c r="W49" s="58">
        <f>229281.4256</f>
        <v>229281.42559999999</v>
      </c>
      <c r="X49" s="58">
        <f>229563.5838</f>
        <v>229563.58379999999</v>
      </c>
      <c r="Y49" s="58">
        <f>231378.5091</f>
        <v>231378.5091</v>
      </c>
      <c r="Z49" s="58">
        <f>230770.3573</f>
        <v>230770.3573</v>
      </c>
      <c r="AA49" s="58">
        <f>231906.9352</f>
        <v>231906.93520000001</v>
      </c>
      <c r="AB49" s="58">
        <f>232260.9589</f>
        <v>232260.9589</v>
      </c>
      <c r="AC49" s="58">
        <f>232913.7952</f>
        <v>232913.79519999999</v>
      </c>
      <c r="AD49" s="58">
        <f>232735.8513</f>
        <v>232735.85130000001</v>
      </c>
      <c r="AE49" s="58">
        <f>232753.8696</f>
        <v>232753.86960000001</v>
      </c>
    </row>
    <row r="50" spans="1:31" x14ac:dyDescent="0.25">
      <c r="A50" s="66" t="s">
        <v>375</v>
      </c>
      <c r="B50" s="58">
        <f>4269828.054</f>
        <v>4269828.0539999995</v>
      </c>
      <c r="C50" s="58">
        <f>4193843.919</f>
        <v>4193843.9190000002</v>
      </c>
      <c r="D50" s="58">
        <f>4114366.387</f>
        <v>4114366.3870000001</v>
      </c>
      <c r="E50" s="58">
        <f>4032078.348</f>
        <v>4032078.3480000002</v>
      </c>
      <c r="F50" s="58">
        <f>3945294.65</f>
        <v>3945294.65</v>
      </c>
      <c r="G50" s="58">
        <f>3851586.193</f>
        <v>3851586.193</v>
      </c>
      <c r="H50" s="58">
        <f>3758555.513</f>
        <v>3758555.5129999998</v>
      </c>
      <c r="I50" s="58">
        <f>3659700.099</f>
        <v>3659700.0989999999</v>
      </c>
      <c r="J50" s="58">
        <f>3559324.935</f>
        <v>3559324.9350000001</v>
      </c>
      <c r="K50" s="58">
        <f>3452308.279</f>
        <v>3452308.2790000001</v>
      </c>
      <c r="L50" s="58">
        <f>3340941.011</f>
        <v>3340941.0109999999</v>
      </c>
      <c r="M50" s="58">
        <f>3226868.313</f>
        <v>3226868.3130000001</v>
      </c>
      <c r="N50" s="58">
        <f>3108841.823</f>
        <v>3108841.8229999999</v>
      </c>
      <c r="O50" s="58">
        <f>2984394.647</f>
        <v>2984394.6469999999</v>
      </c>
      <c r="P50" s="58">
        <f>2853654.58</f>
        <v>2853654.58</v>
      </c>
      <c r="Q50" s="58">
        <f>2719464.102</f>
        <v>2719464.102</v>
      </c>
      <c r="R50" s="58">
        <f>2578798.616</f>
        <v>2578798.6159999999</v>
      </c>
      <c r="S50" s="58">
        <f>2433984.578</f>
        <v>2433984.5780000002</v>
      </c>
      <c r="T50" s="58">
        <f>2286762.017</f>
        <v>2286762.017</v>
      </c>
      <c r="U50" s="58">
        <f>2130563.903</f>
        <v>2130563.9029999999</v>
      </c>
      <c r="V50" s="58">
        <f>1968980.83</f>
        <v>1968980.83</v>
      </c>
      <c r="W50" s="58">
        <f>1801819.983</f>
        <v>1801819.983</v>
      </c>
      <c r="X50" s="58">
        <f>1626593.157</f>
        <v>1626593.1569999999</v>
      </c>
      <c r="Y50" s="58">
        <f>1445827.368</f>
        <v>1445827.368</v>
      </c>
      <c r="Z50" s="58">
        <f>1257823.68</f>
        <v>1257823.68</v>
      </c>
      <c r="AA50" s="58">
        <f>1064788.033</f>
        <v>1064788.0330000001</v>
      </c>
      <c r="AB50" s="58">
        <f>864824.7388</f>
        <v>864824.73880000005</v>
      </c>
      <c r="AC50" s="58">
        <f>658508.522</f>
        <v>658508.522</v>
      </c>
      <c r="AD50" s="58">
        <f>445349.9825</f>
        <v>445349.98249999998</v>
      </c>
      <c r="AE50" s="58">
        <f>225974.6307</f>
        <v>225974.63070000001</v>
      </c>
    </row>
    <row r="51" spans="1:31" x14ac:dyDescent="0.25">
      <c r="A51" s="66"/>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row>
    <row r="52" spans="1:31" s="15" customFormat="1" x14ac:dyDescent="0.25"/>
    <row r="53" spans="1:31" x14ac:dyDescent="0.25">
      <c r="A53" s="32" t="s">
        <v>389</v>
      </c>
    </row>
    <row r="54" spans="1:31" x14ac:dyDescent="0.25">
      <c r="A54" s="65" t="s">
        <v>323</v>
      </c>
      <c r="B54" s="60">
        <f>IF(0.3&lt;=$F$99,B39,0)</f>
        <v>0</v>
      </c>
      <c r="C54" s="60">
        <f>IF(0.3&lt;=$F$99,C39,0)</f>
        <v>0</v>
      </c>
      <c r="D54" s="60">
        <f>IF(0.3&lt;=$F$99,D39,0)</f>
        <v>0</v>
      </c>
      <c r="E54" s="60">
        <f>IF(0.3&lt;=$F$99,E39,0)</f>
        <v>0</v>
      </c>
      <c r="F54" s="60">
        <f>IF(0.3&lt;=$F$99,F39,0)</f>
        <v>0</v>
      </c>
      <c r="G54" s="60">
        <f>IF(0.3&lt;=$F$99,G39,0)</f>
        <v>0</v>
      </c>
      <c r="H54" s="60">
        <f>IF(0.3&lt;=$F$99,H39,0)</f>
        <v>0</v>
      </c>
      <c r="I54" s="60">
        <f>IF(0.3&lt;=$F$99,I39,0)</f>
        <v>0</v>
      </c>
      <c r="J54" s="60">
        <f>IF(0.3&lt;=$F$99,J39,0)</f>
        <v>0</v>
      </c>
      <c r="K54" s="60">
        <f>IF(0.3&lt;=$F$99,K39,0)</f>
        <v>0</v>
      </c>
      <c r="L54" s="60">
        <f>IF(0.3&lt;=$F$99,L39,0)</f>
        <v>0</v>
      </c>
      <c r="M54" s="60">
        <f>IF(0.3&lt;=$F$99,M39,0)</f>
        <v>0</v>
      </c>
      <c r="N54" s="60">
        <f>IF(0.3&lt;=$F$99,N39,0)</f>
        <v>0</v>
      </c>
      <c r="O54" s="60">
        <f>IF(0.3&lt;=$F$99,O39,0)</f>
        <v>0</v>
      </c>
      <c r="P54" s="60">
        <f>IF(0.3&lt;=$F$99,P39,0)</f>
        <v>0</v>
      </c>
      <c r="Q54" s="60">
        <f>IF(0.3&lt;=$F$99,Q39,0)</f>
        <v>0</v>
      </c>
      <c r="R54" s="60">
        <f>IF(0.3&lt;=$F$99,R39,0)</f>
        <v>0</v>
      </c>
      <c r="S54" s="60">
        <f>IF(0.3&lt;=$F$99,S39,0)</f>
        <v>0</v>
      </c>
      <c r="T54" s="60">
        <f>IF(0.3&lt;=$F$99,T39,0)</f>
        <v>0</v>
      </c>
      <c r="U54" s="60">
        <f>IF(0.3&lt;=$F$99,U39,0)</f>
        <v>0</v>
      </c>
      <c r="V54" s="60">
        <f>IF(0.3&lt;=$F$99,V39,0)</f>
        <v>0</v>
      </c>
      <c r="W54" s="60">
        <f>IF(0.3&lt;=$F$99,W39,0)</f>
        <v>0</v>
      </c>
      <c r="X54" s="60">
        <f>IF(0.3&lt;=$F$99,X39,0)</f>
        <v>0</v>
      </c>
      <c r="Y54" s="60">
        <f>IF(0.3&lt;=$F$99,Y39,0)</f>
        <v>0</v>
      </c>
      <c r="Z54" s="60">
        <f>IF(0.3&lt;=$F$99,Z39,0)</f>
        <v>0</v>
      </c>
      <c r="AA54" s="60">
        <f>IF(0.3&lt;=$F$99,AA39,0)</f>
        <v>0</v>
      </c>
      <c r="AB54" s="60">
        <f>IF(0.3&lt;=$F$99,AB39,0)</f>
        <v>0</v>
      </c>
      <c r="AC54" s="60">
        <f>IF(0.3&lt;=$F$99,AC39,0)</f>
        <v>0</v>
      </c>
      <c r="AD54" s="60">
        <f>IF(0.3&lt;=$F$99,AD39,0)</f>
        <v>0</v>
      </c>
      <c r="AE54" s="60">
        <f>IF(0.3&lt;=$F$99,AE39,0)</f>
        <v>0</v>
      </c>
    </row>
    <row r="55" spans="1:31" x14ac:dyDescent="0.25">
      <c r="A55" s="65" t="s">
        <v>320</v>
      </c>
      <c r="B55" s="57">
        <f>IF(0.3&lt;=$F$99,(B54-B11+B13),(B13-B10))</f>
        <v>236365.87008500006</v>
      </c>
      <c r="C55" s="57">
        <f>IF(0.3&lt;=$F$99,(C54-C11+C13),(C13-C10))</f>
        <v>236365.87008500006</v>
      </c>
      <c r="D55" s="57">
        <f>IF(0.3&lt;=$F$99,(D54-D11+D13),(D13-D10))</f>
        <v>236365.87008500006</v>
      </c>
      <c r="E55" s="57">
        <f>IF(0.3&lt;=$F$99,(E54-E11+E13),(E13-E10))</f>
        <v>236365.87008500006</v>
      </c>
      <c r="F55" s="57">
        <f>IF(0.3&lt;=$F$99,(F54-F11+F13),(F13-F10))</f>
        <v>236365.87008500006</v>
      </c>
      <c r="G55" s="57">
        <f>IF(0.3&lt;=$F$99,(G54-G11+G13),(G13-G10))</f>
        <v>236365.87008500006</v>
      </c>
      <c r="H55" s="57">
        <f>IF(0.3&lt;=$F$99,(H54-H11+H13),(H13-H10))</f>
        <v>236365.87008500006</v>
      </c>
      <c r="I55" s="57">
        <f>IF(0.3&lt;=$F$99,(I54-I11+I13),(I13-I10))</f>
        <v>236365.87008500006</v>
      </c>
      <c r="J55" s="57">
        <f>IF(0.3&lt;=$F$99,(J54-J11+J13),(J13-J10))</f>
        <v>236365.87008500006</v>
      </c>
      <c r="K55" s="57">
        <f>IF(0.3&lt;=$F$99,(K54-K11+K13),(K13-K10))</f>
        <v>236365.87008500006</v>
      </c>
      <c r="L55" s="57">
        <f>IF(0.3&lt;=$F$99,(L54-L11+L13),(L13-L10))</f>
        <v>236365.87008500006</v>
      </c>
      <c r="M55" s="57">
        <f>IF(0.3&lt;=$F$99,(M54-M11+M13),(M13-M10))</f>
        <v>236365.87008500006</v>
      </c>
      <c r="N55" s="57">
        <f>IF(0.3&lt;=$F$99,(N54-N11+N13),(N13-N10))</f>
        <v>236365.87008500006</v>
      </c>
      <c r="O55" s="57">
        <f>IF(0.3&lt;=$F$99,(O54-O11+O13),(O13-O10))</f>
        <v>236365.87008500006</v>
      </c>
      <c r="P55" s="57">
        <f>IF(0.3&lt;=$F$99,(P54-P11+P13),(P13-P10))</f>
        <v>236365.87008500006</v>
      </c>
      <c r="Q55" s="57">
        <f>IF(0.3&lt;=$F$99,(Q54-Q11+Q13),(Q13-Q10))</f>
        <v>236365.87008500006</v>
      </c>
      <c r="R55" s="57">
        <f>IF(0.3&lt;=$F$99,(R54-R11+R13),(R13-R10))</f>
        <v>236365.87008500006</v>
      </c>
      <c r="S55" s="57">
        <f>IF(0.3&lt;=$F$99,(S54-S11+S13),(S13-S10))</f>
        <v>236365.87008500006</v>
      </c>
      <c r="T55" s="57">
        <f>IF(0.3&lt;=$F$99,(T54-T11+T13),(T13-T10))</f>
        <v>236365.87008500006</v>
      </c>
      <c r="U55" s="57">
        <f>IF(0.3&lt;=$F$99,(U54-U11+U13),(U13-U10))</f>
        <v>236365.87008500006</v>
      </c>
      <c r="V55" s="57">
        <f>IF(0.3&lt;=$F$99,(V54-V11+V13),(V13-V10))</f>
        <v>236365.87008500006</v>
      </c>
      <c r="W55" s="57">
        <f>IF(0.3&lt;=$F$99,(W54-W11+W13),(W13-W10))</f>
        <v>236365.87008500006</v>
      </c>
      <c r="X55" s="57">
        <f>IF(0.3&lt;=$F$99,(X54-X11+X13),(X13-X10))</f>
        <v>236365.87008500006</v>
      </c>
      <c r="Y55" s="57">
        <f>IF(0.3&lt;=$F$99,(Y54-Y11+Y13),(Y13-Y10))</f>
        <v>236365.87008500006</v>
      </c>
      <c r="Z55" s="57">
        <f>IF(0.3&lt;=$F$99,(Z54-Z11+Z13),(Z13-Z10))</f>
        <v>236365.87008500006</v>
      </c>
      <c r="AA55" s="57">
        <f>IF(0.3&lt;=$F$99,(AA54-AA11+AA13),(AA13-AA10))</f>
        <v>236365.87008500006</v>
      </c>
      <c r="AB55" s="57">
        <f>IF(0.3&lt;=$F$99,(AB54-AB11+AB13),(AB13-AB10))</f>
        <v>236365.87008500006</v>
      </c>
      <c r="AC55" s="57">
        <f>IF(0.3&lt;=$F$99,(AC54-AC11+AC13),(AC13-AC10))</f>
        <v>236365.87008500006</v>
      </c>
      <c r="AD55" s="57">
        <f>IF(0.3&lt;=$F$99,(AD54-AD11+AD13),(AD13-AD10))</f>
        <v>236365.87008500006</v>
      </c>
      <c r="AE55" s="57">
        <f>IF(0.3&lt;=$F$99,(AE54-AE11+AE13),(AE13-AE10))</f>
        <v>236365.87008500006</v>
      </c>
    </row>
    <row r="56" spans="1:31" x14ac:dyDescent="0.25">
      <c r="A56" s="66" t="s">
        <v>326</v>
      </c>
      <c r="B56" s="58">
        <f xml:space="preserve"> NPV(3%,B55:$AE55)</f>
        <v>4632875.3736174349</v>
      </c>
      <c r="C56" s="58">
        <f xml:space="preserve"> NPV(3%,C55:$AE55)</f>
        <v>4535495.7647409579</v>
      </c>
      <c r="D56" s="58">
        <f xml:space="preserve"> NPV(3%,D55:$AE55)</f>
        <v>4435194.7675981866</v>
      </c>
      <c r="E56" s="58">
        <f xml:space="preserve"> NPV(3%,E55:$AE55)</f>
        <v>4331884.7405411322</v>
      </c>
      <c r="F56" s="58">
        <f xml:space="preserve"> NPV(3%,F55:$AE55)</f>
        <v>4225475.412672366</v>
      </c>
      <c r="G56" s="58">
        <f xml:space="preserve"> NPV(3%,G55:$AE55)</f>
        <v>4115873.8049675375</v>
      </c>
      <c r="H56" s="58">
        <f xml:space="preserve"> NPV(3%,H55:$AE55)</f>
        <v>4002984.1490315632</v>
      </c>
      <c r="I56" s="58">
        <f xml:space="preserve"> NPV(3%,I55:$AE55)</f>
        <v>3886707.8034175104</v>
      </c>
      <c r="J56" s="58">
        <f xml:space="preserve"> NPV(3%,J55:$AE55)</f>
        <v>3766943.1674350356</v>
      </c>
      <c r="K56" s="58">
        <f xml:space="preserve"> NPV(3%,K55:$AE55)</f>
        <v>3643585.5923730866</v>
      </c>
      <c r="L56" s="58">
        <f xml:space="preserve"> NPV(3%,L55:$AE55)</f>
        <v>3516527.2900592792</v>
      </c>
      <c r="M56" s="58">
        <f xml:space="preserve"> NPV(3%,M55:$AE55)</f>
        <v>3385657.2386760577</v>
      </c>
      <c r="N56" s="58">
        <f xml:space="preserve"> NPV(3%,N55:$AE55)</f>
        <v>3250861.0857513393</v>
      </c>
      <c r="O56" s="58">
        <f xml:space="preserve"> NPV(3%,O55:$AE55)</f>
        <v>3112021.0482388795</v>
      </c>
      <c r="P56" s="58">
        <f xml:space="preserve"> NPV(3%,P55:$AE55)</f>
        <v>2969015.8096010461</v>
      </c>
      <c r="Q56" s="58">
        <f xml:space="preserve"> NPV(3%,Q55:$AE55)</f>
        <v>2821720.4138040775</v>
      </c>
      <c r="R56" s="58">
        <f xml:space="preserve"> NPV(3%,R55:$AE55)</f>
        <v>2670006.1561332</v>
      </c>
      <c r="S56" s="58">
        <f xml:space="preserve"> NPV(3%,S55:$AE55)</f>
        <v>2513740.4707321962</v>
      </c>
      <c r="T56" s="58">
        <f xml:space="preserve"> NPV(3%,T55:$AE55)</f>
        <v>2352786.8147691623</v>
      </c>
      <c r="U56" s="58">
        <f xml:space="preserve"> NPV(3%,U55:$AE55)</f>
        <v>2187004.5491272374</v>
      </c>
      <c r="V56" s="58">
        <f xml:space="preserve"> NPV(3%,V55:$AE55)</f>
        <v>2016248.8155160546</v>
      </c>
      <c r="W56" s="58">
        <f xml:space="preserve"> NPV(3%,W55:$AE55)</f>
        <v>1840370.4098965363</v>
      </c>
      <c r="X56" s="58">
        <f xml:space="preserve"> NPV(3%,X55:$AE55)</f>
        <v>1659215.6521084323</v>
      </c>
      <c r="Y56" s="58">
        <f xml:space="preserve"> NPV(3%,Y55:$AE55)</f>
        <v>1472626.2515866852</v>
      </c>
      <c r="Z56" s="58">
        <f xml:space="preserve"> NPV(3%,Z55:$AE55)</f>
        <v>1280439.1690492858</v>
      </c>
      <c r="AA56" s="58">
        <f xml:space="preserve"> NPV(3%,AA55:$AE55)</f>
        <v>1082486.4740357643</v>
      </c>
      <c r="AB56" s="58">
        <f xml:space="preserve"> NPV(3%,AB55:$AE55)</f>
        <v>878595.19817183714</v>
      </c>
      <c r="AC56" s="58">
        <f xml:space="preserve"> NPV(3%,AC55:$AE55)</f>
        <v>668587.1840319921</v>
      </c>
      <c r="AD56" s="58">
        <f xml:space="preserve"> NPV(3%,AD55:$AE55)</f>
        <v>452278.92946795188</v>
      </c>
      <c r="AE56" s="58">
        <f xml:space="preserve"> NPV(3%,AE55:$AE55)</f>
        <v>229481.42726699036</v>
      </c>
    </row>
    <row r="57" spans="1:31" x14ac:dyDescent="0.25">
      <c r="A57" s="64" t="s">
        <v>359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row>
    <row r="58" spans="1:31" x14ac:dyDescent="0.25">
      <c r="A58" s="65" t="s">
        <v>324</v>
      </c>
      <c r="B58" s="57">
        <f>69953.71258</f>
        <v>69953.712580000007</v>
      </c>
      <c r="C58" s="57">
        <f>69673.53349</f>
        <v>69673.533490000002</v>
      </c>
      <c r="D58" s="57">
        <f>67440.1908</f>
        <v>67440.190799999997</v>
      </c>
      <c r="E58" s="57">
        <f>70846.66763</f>
        <v>70846.667629999996</v>
      </c>
      <c r="F58" s="57">
        <f>73844.37239</f>
        <v>73844.372390000004</v>
      </c>
      <c r="G58" s="57">
        <f>69122.45039</f>
        <v>69122.450389999998</v>
      </c>
      <c r="H58" s="57">
        <f>70935.53385</f>
        <v>70935.533850000007</v>
      </c>
      <c r="I58" s="57">
        <f>68245.13261</f>
        <v>68245.132610000001</v>
      </c>
      <c r="J58" s="57">
        <f>70026.62335</f>
        <v>70026.623349999994</v>
      </c>
      <c r="K58" s="57">
        <f>71648.35236</f>
        <v>71648.352360000004</v>
      </c>
      <c r="L58" s="57">
        <f>66941.13339</f>
        <v>66941.133390000003</v>
      </c>
      <c r="M58" s="57">
        <f>68354.9631</f>
        <v>68354.963099999994</v>
      </c>
      <c r="N58" s="57">
        <f>70800.48133</f>
        <v>70800.481329999995</v>
      </c>
      <c r="O58" s="57">
        <f>71045.17193</f>
        <v>71045.171929999997</v>
      </c>
      <c r="P58" s="57">
        <f>70656.758</f>
        <v>70656.758000000002</v>
      </c>
      <c r="Q58" s="57">
        <f>72522.86186</f>
        <v>72522.861860000005</v>
      </c>
      <c r="R58" s="57">
        <f>68072.81953</f>
        <v>68072.819529999993</v>
      </c>
      <c r="S58" s="57">
        <f>67099.103</f>
        <v>67099.103000000003</v>
      </c>
      <c r="T58" s="57">
        <f>67798.95694</f>
        <v>67798.956940000004</v>
      </c>
      <c r="U58" s="57">
        <f>63892.99423</f>
        <v>63892.994229999997</v>
      </c>
      <c r="V58" s="57">
        <f>65202.6873</f>
        <v>65202.687299999998</v>
      </c>
      <c r="W58" s="57">
        <f>73184.0872</f>
        <v>73184.087199999994</v>
      </c>
      <c r="X58" s="57">
        <f>69421.29975</f>
        <v>69421.299750000006</v>
      </c>
      <c r="Y58" s="57">
        <f>69930.1494</f>
        <v>69930.149399999995</v>
      </c>
      <c r="Z58" s="57">
        <f>70251.18742</f>
        <v>70251.187420000002</v>
      </c>
      <c r="AA58" s="57">
        <f>65728.72698</f>
        <v>65728.726980000007</v>
      </c>
      <c r="AB58" s="57">
        <f>76100.99419</f>
        <v>76100.994189999998</v>
      </c>
      <c r="AC58" s="57">
        <f>67900.2877</f>
        <v>67900.287700000001</v>
      </c>
      <c r="AD58" s="57">
        <f>68241.82948</f>
        <v>68241.82948</v>
      </c>
      <c r="AE58" s="57">
        <f>208534.9516</f>
        <v>208534.9516</v>
      </c>
    </row>
    <row r="59" spans="1:31" s="69" customFormat="1" x14ac:dyDescent="0.25">
      <c r="A59" s="70" t="s">
        <v>374</v>
      </c>
      <c r="B59" s="68">
        <f>1420703.308</f>
        <v>1420703.308</v>
      </c>
      <c r="C59" s="68">
        <f>1393370.695</f>
        <v>1393370.6950000001</v>
      </c>
      <c r="D59" s="68">
        <f>1365498.282</f>
        <v>1365498.2819999999</v>
      </c>
      <c r="E59" s="68">
        <f>1339023.04</f>
        <v>1339023.04</v>
      </c>
      <c r="F59" s="68">
        <f>1308347.063</f>
        <v>1308347.0630000001</v>
      </c>
      <c r="G59" s="68">
        <f>1273753.103</f>
        <v>1273753.1029999999</v>
      </c>
      <c r="H59" s="68">
        <f>1242843.246</f>
        <v>1242843.246</v>
      </c>
      <c r="I59" s="68">
        <f>1209193.009</f>
        <v>1209193.0090000001</v>
      </c>
      <c r="J59" s="68">
        <f>1177223.667</f>
        <v>1177223.6669999999</v>
      </c>
      <c r="K59" s="68">
        <f>1142513.753</f>
        <v>1142513.753</v>
      </c>
      <c r="L59" s="68">
        <f>1105140.814</f>
        <v>1105140.814</v>
      </c>
      <c r="M59" s="68">
        <f>1071353.905</f>
        <v>1071353.905</v>
      </c>
      <c r="N59" s="68">
        <f>1035139.559</f>
        <v>1035139.559</v>
      </c>
      <c r="O59" s="68">
        <f>995393.2642</f>
        <v>995393.26419999998</v>
      </c>
      <c r="P59" s="68">
        <f>954209.8902</f>
        <v>954209.89020000002</v>
      </c>
      <c r="Q59" s="68">
        <f>912179.4289</f>
        <v>912179.42890000006</v>
      </c>
      <c r="R59" s="68">
        <f>867021.9499</f>
        <v>867021.94990000001</v>
      </c>
      <c r="S59" s="68">
        <f>824959.7889</f>
        <v>824959.78890000004</v>
      </c>
      <c r="T59" s="68">
        <f>782609.4796</f>
        <v>782609.47959999996</v>
      </c>
      <c r="U59" s="68">
        <f>738288.807</f>
        <v>738288.80700000003</v>
      </c>
      <c r="V59" s="68">
        <f>696544.477</f>
        <v>696544.47699999996</v>
      </c>
      <c r="W59" s="68">
        <f>652238.124</f>
        <v>652238.12399999995</v>
      </c>
      <c r="X59" s="68">
        <f>598621.1805</f>
        <v>598621.18050000002</v>
      </c>
      <c r="Y59" s="68">
        <f>547158.5162</f>
        <v>547158.51619999995</v>
      </c>
      <c r="Z59" s="68">
        <f>493643.1223</f>
        <v>493643.12229999999</v>
      </c>
      <c r="AA59" s="68">
        <f>438201.2286</f>
        <v>438201.22859999997</v>
      </c>
      <c r="AB59" s="68">
        <f>385618.5384</f>
        <v>385618.53840000002</v>
      </c>
      <c r="AC59" s="68">
        <f>321086.1004</f>
        <v>321086.1004</v>
      </c>
      <c r="AD59" s="68">
        <f>262818.3957</f>
        <v>262818.39569999999</v>
      </c>
      <c r="AE59" s="68">
        <f>202461.1181</f>
        <v>202461.11809999999</v>
      </c>
    </row>
    <row r="60" spans="1:31" x14ac:dyDescent="0.25">
      <c r="A60" s="64" t="s">
        <v>386</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row>
    <row r="61" spans="1:31" x14ac:dyDescent="0.25">
      <c r="A61" s="66" t="s">
        <v>324</v>
      </c>
      <c r="B61" s="58">
        <f>B55</f>
        <v>236365.87008500006</v>
      </c>
      <c r="C61" s="58">
        <f>C55</f>
        <v>236365.87008500006</v>
      </c>
      <c r="D61" s="58">
        <f>D55</f>
        <v>236365.87008500006</v>
      </c>
      <c r="E61" s="58">
        <f>E55</f>
        <v>236365.87008500006</v>
      </c>
      <c r="F61" s="58">
        <f>F55</f>
        <v>236365.87008500006</v>
      </c>
      <c r="G61" s="58">
        <f>G55</f>
        <v>236365.87008500006</v>
      </c>
      <c r="H61" s="58">
        <f>H55</f>
        <v>236365.87008500006</v>
      </c>
      <c r="I61" s="58">
        <f>I55</f>
        <v>236365.87008500006</v>
      </c>
      <c r="J61" s="58">
        <f>J55</f>
        <v>236365.87008500006</v>
      </c>
      <c r="K61" s="58">
        <f>K55</f>
        <v>236365.87008500006</v>
      </c>
      <c r="L61" s="58">
        <f>L55</f>
        <v>236365.87008500006</v>
      </c>
      <c r="M61" s="58">
        <f>M55</f>
        <v>236365.87008500006</v>
      </c>
      <c r="N61" s="58">
        <f>N55</f>
        <v>236365.87008500006</v>
      </c>
      <c r="O61" s="58">
        <f>O55</f>
        <v>236365.87008500006</v>
      </c>
      <c r="P61" s="58">
        <f>P55</f>
        <v>236365.87008500006</v>
      </c>
      <c r="Q61" s="58">
        <f>Q55</f>
        <v>236365.87008500006</v>
      </c>
      <c r="R61" s="58">
        <f>R55</f>
        <v>236365.87008500006</v>
      </c>
      <c r="S61" s="58">
        <f>S55</f>
        <v>236365.87008500006</v>
      </c>
      <c r="T61" s="58">
        <f>T55</f>
        <v>236365.87008500006</v>
      </c>
      <c r="U61" s="58">
        <f>U55</f>
        <v>236365.87008500006</v>
      </c>
      <c r="V61" s="58">
        <f>V55</f>
        <v>236365.87008500006</v>
      </c>
      <c r="W61" s="58">
        <f>W55</f>
        <v>236365.87008500006</v>
      </c>
      <c r="X61" s="58">
        <f>X55</f>
        <v>236365.87008500006</v>
      </c>
      <c r="Y61" s="58">
        <f>Y55</f>
        <v>236365.87008500006</v>
      </c>
      <c r="Z61" s="58">
        <f>Z55</f>
        <v>236365.87008500006</v>
      </c>
      <c r="AA61" s="58">
        <f>AA55</f>
        <v>236365.87008500006</v>
      </c>
      <c r="AB61" s="58">
        <f>AB55</f>
        <v>236365.87008500006</v>
      </c>
      <c r="AC61" s="58">
        <f>AC55</f>
        <v>236365.87008500006</v>
      </c>
      <c r="AD61" s="58">
        <f>AD55</f>
        <v>236365.87008500006</v>
      </c>
      <c r="AE61" s="58">
        <f>AE55</f>
        <v>236365.87008500006</v>
      </c>
    </row>
    <row r="62" spans="1:31" x14ac:dyDescent="0.25">
      <c r="A62" s="66" t="s">
        <v>385</v>
      </c>
      <c r="B62" s="58">
        <f>3192488.337</f>
        <v>3192488.3369999998</v>
      </c>
      <c r="C62" s="58">
        <f>3218309.275</f>
        <v>3218309.2749999999</v>
      </c>
      <c r="D62" s="58">
        <f>3238296.627</f>
        <v>3238296.6269999999</v>
      </c>
      <c r="E62" s="58">
        <f>3250918.355</f>
        <v>3250918.355</v>
      </c>
      <c r="F62" s="58">
        <f>3253754.975</f>
        <v>3253754.9750000001</v>
      </c>
      <c r="G62" s="58">
        <f>3247236.643</f>
        <v>3247236.6430000002</v>
      </c>
      <c r="H62" s="58">
        <f>3237022.315</f>
        <v>3237022.3149999999</v>
      </c>
      <c r="I62" s="58">
        <f>3218872.023</f>
        <v>3218872.023</v>
      </c>
      <c r="J62" s="58">
        <f>3194860.726</f>
        <v>3194860.7259999998</v>
      </c>
      <c r="K62" s="58">
        <f>3160029.086</f>
        <v>3160029.0860000001</v>
      </c>
      <c r="L62" s="58">
        <f>3115568.058</f>
        <v>3115568.0580000002</v>
      </c>
      <c r="M62" s="58">
        <f>3065265.746</f>
        <v>3065265.7459999998</v>
      </c>
      <c r="N62" s="58">
        <f>3004794.38</f>
        <v>3004794.38</v>
      </c>
      <c r="O62" s="58">
        <f>2934526.558</f>
        <v>2934526.5580000002</v>
      </c>
      <c r="P62" s="58">
        <f>2855075.253</f>
        <v>2855075.253</v>
      </c>
      <c r="Q62" s="58">
        <f>2767796.763</f>
        <v>2767796.7629999998</v>
      </c>
      <c r="R62" s="58">
        <f>2621525.347</f>
        <v>2621525.3470000001</v>
      </c>
      <c r="S62" s="58">
        <f>2470002.72</f>
        <v>2470002.7200000002</v>
      </c>
      <c r="T62" s="58">
        <f>2315077.394</f>
        <v>2315077.3939999999</v>
      </c>
      <c r="U62" s="58">
        <f>2152658.531</f>
        <v>2152658.531</v>
      </c>
      <c r="V62" s="58">
        <f>1984343.471</f>
        <v>1984343.4709999999</v>
      </c>
      <c r="W62" s="58">
        <f>1811847.148</f>
        <v>1811847.148</v>
      </c>
      <c r="X62" s="58">
        <f>1632812.902</f>
        <v>1632812.902</v>
      </c>
      <c r="Y62" s="58">
        <f>1449319.733</f>
        <v>1449319.733</v>
      </c>
      <c r="Z62" s="58">
        <f>1258530.28</f>
        <v>1258530.28</v>
      </c>
      <c r="AA62" s="58">
        <f>1064788.033</f>
        <v>1064788.0330000001</v>
      </c>
      <c r="AB62" s="58">
        <f>864824.7388</f>
        <v>864824.73880000005</v>
      </c>
      <c r="AC62" s="58">
        <f>658508.522</f>
        <v>658508.522</v>
      </c>
      <c r="AD62" s="58">
        <f>445349.9825</f>
        <v>445349.98249999998</v>
      </c>
      <c r="AE62" s="58">
        <f>225974.6307</f>
        <v>225974.63070000001</v>
      </c>
    </row>
    <row r="63" spans="1:31" x14ac:dyDescent="0.25">
      <c r="A63" s="67" t="s">
        <v>388</v>
      </c>
      <c r="B63" s="58"/>
      <c r="C63" s="58"/>
      <c r="D63" s="58"/>
      <c r="E63" s="58"/>
      <c r="F63" s="58"/>
      <c r="G63" s="58"/>
      <c r="H63" s="58"/>
      <c r="J63" s="58"/>
      <c r="K63" s="58"/>
      <c r="L63" s="58"/>
      <c r="M63" s="58"/>
      <c r="N63" s="58"/>
      <c r="O63" s="58"/>
      <c r="P63" s="58"/>
      <c r="Q63" s="58"/>
      <c r="R63" s="58"/>
      <c r="S63" s="58"/>
      <c r="T63" s="58"/>
      <c r="U63" s="58"/>
      <c r="V63" s="58"/>
      <c r="W63" s="58"/>
      <c r="X63" s="58"/>
      <c r="Y63" s="58"/>
      <c r="Z63" s="58"/>
      <c r="AA63" s="58"/>
      <c r="AB63" s="58"/>
      <c r="AC63" s="58"/>
      <c r="AD63" s="58"/>
      <c r="AE63" s="58"/>
    </row>
    <row r="64" spans="1:31" x14ac:dyDescent="0.25">
      <c r="A64" s="70" t="s">
        <v>324</v>
      </c>
      <c r="B64" s="58">
        <f>69953.71258</f>
        <v>69953.712580000007</v>
      </c>
      <c r="C64" s="58">
        <f>75007.26128</f>
        <v>75007.261280000006</v>
      </c>
      <c r="D64" s="58">
        <f>80578.31743</f>
        <v>80578.317429999996</v>
      </c>
      <c r="E64" s="58">
        <f>88330.57805</f>
        <v>88330.578049999996</v>
      </c>
      <c r="F64" s="58">
        <f>96166.90537</f>
        <v>96166.905369999993</v>
      </c>
      <c r="G64" s="58">
        <f>97595.9641</f>
        <v>97595.964099999997</v>
      </c>
      <c r="H64" s="58">
        <f>103840.7914</f>
        <v>103840.7914</v>
      </c>
      <c r="I64" s="58">
        <f>107776.231</f>
        <v>107776.231</v>
      </c>
      <c r="J64" s="58">
        <f>115563.9038</f>
        <v>115563.9038</v>
      </c>
      <c r="K64" s="58">
        <f>120375.5153</f>
        <v>120375.5153</v>
      </c>
      <c r="L64" s="58">
        <f>123453.2937</f>
        <v>123453.29369999999</v>
      </c>
      <c r="M64" s="58">
        <f>128744.9093</f>
        <v>128744.9093</v>
      </c>
      <c r="N64" s="58">
        <f>136569.6691</f>
        <v>136569.6691</v>
      </c>
      <c r="O64" s="58">
        <f>143091.6366</f>
        <v>143091.6366</v>
      </c>
      <c r="P64" s="58">
        <f>147817.5248</f>
        <v>147817.52480000001</v>
      </c>
      <c r="Q64" s="58">
        <f>154924.1924</f>
        <v>154924.1924</v>
      </c>
      <c r="R64" s="58">
        <f>158197.902</f>
        <v>158197.902</v>
      </c>
      <c r="S64" s="58">
        <f>160401.6189</f>
        <v>160401.6189</v>
      </c>
      <c r="T64" s="58">
        <f>169134.9336</f>
        <v>169134.93359999999</v>
      </c>
      <c r="U64" s="58">
        <f>174843.2266</f>
        <v>174843.22659999999</v>
      </c>
      <c r="V64" s="58">
        <f>226230.272</f>
        <v>226230.272</v>
      </c>
      <c r="W64" s="58">
        <f>229281.4256</f>
        <v>229281.42559999999</v>
      </c>
      <c r="X64" s="58">
        <f>229563.5838</f>
        <v>229563.58379999999</v>
      </c>
      <c r="Y64" s="58">
        <f>231378.5091</f>
        <v>231378.5091</v>
      </c>
      <c r="Z64" s="58">
        <f>230770.3573</f>
        <v>230770.3573</v>
      </c>
      <c r="AA64" s="58">
        <f>231906.9352</f>
        <v>231906.93520000001</v>
      </c>
      <c r="AB64" s="58">
        <f>232260.9589</f>
        <v>232260.9589</v>
      </c>
      <c r="AC64" s="58">
        <f>232913.7952</f>
        <v>232913.79519999999</v>
      </c>
      <c r="AD64" s="58">
        <f>232735.8513</f>
        <v>232735.85130000001</v>
      </c>
      <c r="AE64" s="58">
        <f>232753.8696</f>
        <v>232753.86960000001</v>
      </c>
    </row>
    <row r="65" spans="1:31" x14ac:dyDescent="0.25">
      <c r="A65" s="66" t="s">
        <v>375</v>
      </c>
      <c r="B65" s="58">
        <f>2835055.081</f>
        <v>2835055.0809999998</v>
      </c>
      <c r="C65" s="58">
        <f>2850153.021</f>
        <v>2850153.0210000002</v>
      </c>
      <c r="D65" s="58">
        <f>2860650.35</f>
        <v>2860650.35</v>
      </c>
      <c r="E65" s="58">
        <f>2865891.543</f>
        <v>2865891.5430000001</v>
      </c>
      <c r="F65" s="58">
        <f>2863537.712</f>
        <v>2863537.7119999998</v>
      </c>
      <c r="G65" s="58">
        <f>2853276.938</f>
        <v>2853276.9380000001</v>
      </c>
      <c r="H65" s="58">
        <f>2841279.282</f>
        <v>2841279.2820000001</v>
      </c>
      <c r="I65" s="58">
        <f>2822676.869</f>
        <v>2822676.8689999999</v>
      </c>
      <c r="J65" s="58">
        <f>2799580.944</f>
        <v>2799580.9440000001</v>
      </c>
      <c r="K65" s="58">
        <f>2768004.468</f>
        <v>2768004.4679999999</v>
      </c>
      <c r="L65" s="58">
        <f>2730669.087</f>
        <v>2730669.0869999998</v>
      </c>
      <c r="M65" s="58">
        <f>2689135.866</f>
        <v>2689135.8659999999</v>
      </c>
      <c r="N65" s="58">
        <f>2641065.033</f>
        <v>2641065.0329999998</v>
      </c>
      <c r="O65" s="58">
        <f>2583727.315</f>
        <v>2583727.3149999999</v>
      </c>
      <c r="P65" s="58">
        <f>2518147.497</f>
        <v>2518147.497</v>
      </c>
      <c r="Q65" s="58">
        <f>2445874.398</f>
        <v>2445874.398</v>
      </c>
      <c r="R65" s="58">
        <f>2364326.437</f>
        <v>2364326.4369999999</v>
      </c>
      <c r="S65" s="58">
        <f>2277058.328</f>
        <v>2277058.3280000002</v>
      </c>
      <c r="T65" s="58">
        <f>2184968.459</f>
        <v>2184968.4589999998</v>
      </c>
      <c r="U65" s="58">
        <f>2081382.579</f>
        <v>2081382.5789999999</v>
      </c>
      <c r="V65" s="58">
        <f>1968980.83</f>
        <v>1968980.83</v>
      </c>
      <c r="W65" s="58">
        <f>1801819.983</f>
        <v>1801819.983</v>
      </c>
      <c r="X65" s="58">
        <f>1626593.157</f>
        <v>1626593.1569999999</v>
      </c>
      <c r="Y65" s="58">
        <f>1445827.368</f>
        <v>1445827.368</v>
      </c>
      <c r="Z65" s="58">
        <f>1257823.68</f>
        <v>1257823.68</v>
      </c>
      <c r="AA65" s="58">
        <f>1064788.033</f>
        <v>1064788.0330000001</v>
      </c>
      <c r="AB65" s="58">
        <f>864824.7388</f>
        <v>864824.73880000005</v>
      </c>
      <c r="AC65" s="58">
        <f>658508.522</f>
        <v>658508.522</v>
      </c>
      <c r="AD65" s="58">
        <f>445349.9825</f>
        <v>445349.98249999998</v>
      </c>
      <c r="AE65" s="58">
        <f>225974.6307</f>
        <v>225974.63070000001</v>
      </c>
    </row>
    <row r="66" spans="1:31" x14ac:dyDescent="0.25">
      <c r="B66" s="1"/>
    </row>
    <row r="67" spans="1:31" x14ac:dyDescent="0.25">
      <c r="A67" s="32" t="s">
        <v>353</v>
      </c>
    </row>
    <row r="68" spans="1:31" x14ac:dyDescent="0.25">
      <c r="A68" s="73" t="s">
        <v>323</v>
      </c>
      <c r="B68" s="60">
        <f t="shared" ref="B68:AE68" si="12">IF(B17&lt;B15*$F$98,(B15*$F$98-B17)*B20*$F$97,0)</f>
        <v>0</v>
      </c>
      <c r="C68" s="60">
        <f t="shared" si="12"/>
        <v>0</v>
      </c>
      <c r="D68" s="60">
        <f t="shared" si="12"/>
        <v>0</v>
      </c>
      <c r="E68" s="60">
        <f t="shared" si="12"/>
        <v>0</v>
      </c>
      <c r="F68" s="60">
        <f t="shared" si="12"/>
        <v>0</v>
      </c>
      <c r="G68" s="60">
        <f t="shared" si="12"/>
        <v>0</v>
      </c>
      <c r="H68" s="60">
        <f t="shared" si="12"/>
        <v>0</v>
      </c>
      <c r="I68" s="60">
        <f t="shared" si="12"/>
        <v>0</v>
      </c>
      <c r="J68" s="60">
        <f t="shared" si="12"/>
        <v>0</v>
      </c>
      <c r="K68" s="60">
        <f t="shared" si="12"/>
        <v>0</v>
      </c>
      <c r="L68" s="60">
        <f t="shared" si="12"/>
        <v>0</v>
      </c>
      <c r="M68" s="60">
        <f t="shared" si="12"/>
        <v>0</v>
      </c>
      <c r="N68" s="60">
        <f t="shared" si="12"/>
        <v>0</v>
      </c>
      <c r="O68" s="60">
        <f t="shared" si="12"/>
        <v>0</v>
      </c>
      <c r="P68" s="60">
        <f t="shared" si="12"/>
        <v>0</v>
      </c>
      <c r="Q68" s="60">
        <f t="shared" si="12"/>
        <v>0</v>
      </c>
      <c r="R68" s="60">
        <f t="shared" si="12"/>
        <v>0</v>
      </c>
      <c r="S68" s="60">
        <f t="shared" si="12"/>
        <v>0</v>
      </c>
      <c r="T68" s="60">
        <f t="shared" si="12"/>
        <v>0</v>
      </c>
      <c r="U68" s="60">
        <f t="shared" si="12"/>
        <v>0</v>
      </c>
      <c r="V68" s="60">
        <f t="shared" si="12"/>
        <v>0</v>
      </c>
      <c r="W68" s="60">
        <f t="shared" si="12"/>
        <v>0</v>
      </c>
      <c r="X68" s="60">
        <f t="shared" si="12"/>
        <v>0</v>
      </c>
      <c r="Y68" s="60">
        <f t="shared" si="12"/>
        <v>0</v>
      </c>
      <c r="Z68" s="60">
        <f t="shared" si="12"/>
        <v>0</v>
      </c>
      <c r="AA68" s="60">
        <f t="shared" si="12"/>
        <v>0</v>
      </c>
      <c r="AB68" s="60">
        <f t="shared" si="12"/>
        <v>0</v>
      </c>
      <c r="AC68" s="60">
        <f t="shared" si="12"/>
        <v>0</v>
      </c>
      <c r="AD68" s="60">
        <f t="shared" si="12"/>
        <v>0</v>
      </c>
      <c r="AE68" s="60">
        <f t="shared" si="12"/>
        <v>0</v>
      </c>
    </row>
    <row r="69" spans="1:31" x14ac:dyDescent="0.25">
      <c r="A69" s="73" t="s">
        <v>320</v>
      </c>
      <c r="B69" s="57">
        <f>B21-B19+B68</f>
        <v>154491.8467844</v>
      </c>
      <c r="C69" s="57">
        <f>C21-C19+C68</f>
        <v>154491.8467844</v>
      </c>
      <c r="D69" s="57">
        <f>D21-D19+D68</f>
        <v>154491.8467844</v>
      </c>
      <c r="E69" s="57">
        <f>E21-E19+E68</f>
        <v>154491.8467844</v>
      </c>
      <c r="F69" s="57">
        <f>F21-F19+F68</f>
        <v>154491.8467844</v>
      </c>
      <c r="G69" s="57">
        <f>G21-G19+G68</f>
        <v>154491.8467844</v>
      </c>
      <c r="H69" s="57">
        <f>H21-H19+H68</f>
        <v>154491.8467844</v>
      </c>
      <c r="I69" s="57">
        <f>I21-I19+I68</f>
        <v>154491.8467844</v>
      </c>
      <c r="J69" s="57">
        <f>J21-J19+J68</f>
        <v>154491.8467844</v>
      </c>
      <c r="K69" s="57">
        <f>K21-K19+K68</f>
        <v>154491.8467844</v>
      </c>
      <c r="L69" s="57">
        <f>L21-L19+L68</f>
        <v>154491.8467844</v>
      </c>
      <c r="M69" s="57">
        <f>M21-M19+M68</f>
        <v>154491.8467844</v>
      </c>
      <c r="N69" s="57">
        <f>N21-N19+N68</f>
        <v>154491.8467844</v>
      </c>
      <c r="O69" s="57">
        <f>O21-O19+O68</f>
        <v>154491.8467844</v>
      </c>
      <c r="P69" s="57">
        <f>P21-P19+P68</f>
        <v>154491.8467844</v>
      </c>
      <c r="Q69" s="57">
        <f>Q21-Q19+Q68</f>
        <v>154491.8467844</v>
      </c>
      <c r="R69" s="57">
        <f>R21-R19+R68</f>
        <v>154491.8467844</v>
      </c>
      <c r="S69" s="57">
        <f>S21-S19+S68</f>
        <v>154491.8467844</v>
      </c>
      <c r="T69" s="57">
        <f>T21-T19+T68</f>
        <v>154491.8467844</v>
      </c>
      <c r="U69" s="57">
        <f>U21-U19+U68</f>
        <v>154491.8467844</v>
      </c>
      <c r="V69" s="57">
        <f>V21-V19+V68</f>
        <v>154491.8467844</v>
      </c>
      <c r="W69" s="57">
        <f>W21-W19+W68</f>
        <v>154491.8467844</v>
      </c>
      <c r="X69" s="57">
        <f>X21-X19+X68</f>
        <v>154491.8467844</v>
      </c>
      <c r="Y69" s="57">
        <f>Y21-Y19+Y68</f>
        <v>154491.8467844</v>
      </c>
      <c r="Z69" s="57">
        <f>Z21-Z19+Z68</f>
        <v>154491.8467844</v>
      </c>
      <c r="AA69" s="57">
        <f>AA21-AA19+AA68</f>
        <v>154491.8467844</v>
      </c>
      <c r="AB69" s="57">
        <f>AB21-AB19+AB68</f>
        <v>154491.8467844</v>
      </c>
      <c r="AC69" s="57">
        <f>AC21-AC19+AC68</f>
        <v>154491.8467844</v>
      </c>
      <c r="AD69" s="57">
        <f>AD21-AD19+AD68</f>
        <v>154491.8467844</v>
      </c>
      <c r="AE69" s="57">
        <f>AE21-AE19+AE68</f>
        <v>154491.8467844</v>
      </c>
    </row>
    <row r="70" spans="1:31" s="8" customFormat="1" x14ac:dyDescent="0.25">
      <c r="A70" s="73" t="s">
        <v>326</v>
      </c>
      <c r="B70" s="58">
        <f>NPV(3%,B69:$AE69)</f>
        <v>3028108.3818689017</v>
      </c>
      <c r="C70" s="58">
        <f>NPV(3%,C69:$AE69)</f>
        <v>2964459.7865405688</v>
      </c>
      <c r="D70" s="58">
        <f>NPV(3%,D69:$AE69)</f>
        <v>2898901.7333523859</v>
      </c>
      <c r="E70" s="58">
        <f>NPV(3%,E69:$AE69)</f>
        <v>2831376.9385685576</v>
      </c>
      <c r="F70" s="58">
        <f>NPV(3%,F69:$AE69)</f>
        <v>2761826.3999412144</v>
      </c>
      <c r="G70" s="58">
        <f>NPV(3%,G69:$AE69)</f>
        <v>2690189.345155051</v>
      </c>
      <c r="H70" s="58">
        <f>NPV(3%,H69:$AE69)</f>
        <v>2616403.1787253027</v>
      </c>
      <c r="I70" s="58">
        <f>NPV(3%,I69:$AE69)</f>
        <v>2540403.4273026618</v>
      </c>
      <c r="J70" s="58">
        <f>NPV(3%,J69:$AE69)</f>
        <v>2462123.683337342</v>
      </c>
      <c r="K70" s="58">
        <f>NPV(3%,K69:$AE69)</f>
        <v>2381495.5470530624</v>
      </c>
      <c r="L70" s="58">
        <f>NPV(3%,L69:$AE69)</f>
        <v>2298448.5666802539</v>
      </c>
      <c r="M70" s="58">
        <f>NPV(3%,M69:$AE69)</f>
        <v>2212910.176896262</v>
      </c>
      <c r="N70" s="58">
        <f>NPV(3%,N69:$AE69)</f>
        <v>2124805.6354187494</v>
      </c>
      <c r="O70" s="58">
        <f>NPV(3%,O69:$AE69)</f>
        <v>2034057.9576969123</v>
      </c>
      <c r="P70" s="58">
        <f>NPV(3%,P69:$AE69)</f>
        <v>1940587.8496434197</v>
      </c>
      <c r="Q70" s="58">
        <f>NPV(3%,Q69:$AE69)</f>
        <v>1844313.6383483224</v>
      </c>
      <c r="R70" s="58">
        <f>NPV(3%,R69:$AE69)</f>
        <v>1745151.2007143721</v>
      </c>
      <c r="S70" s="58">
        <f>NPV(3%,S69:$AE69)</f>
        <v>1643013.8899514033</v>
      </c>
      <c r="T70" s="58">
        <f>NPV(3%,T69:$AE69)</f>
        <v>1537812.4598655454</v>
      </c>
      <c r="U70" s="58">
        <f>NPV(3%,U69:$AE69)</f>
        <v>1429454.986877112</v>
      </c>
      <c r="V70" s="58">
        <f>NPV(3%,V69:$AE69)</f>
        <v>1317846.7896990255</v>
      </c>
      <c r="W70" s="58">
        <f>NPV(3%,W69:$AE69)</f>
        <v>1202890.3466055964</v>
      </c>
      <c r="X70" s="58">
        <f>NPV(3%,X69:$AE69)</f>
        <v>1084485.2102193641</v>
      </c>
      <c r="Y70" s="58">
        <f>NPV(3%,Y69:$AE69)</f>
        <v>962527.91974154522</v>
      </c>
      <c r="Z70" s="58">
        <f>NPV(3%,Z69:$AE69)</f>
        <v>836911.91054939164</v>
      </c>
      <c r="AA70" s="58">
        <f>NPV(3%,AA69:$AE69)</f>
        <v>707527.42108147335</v>
      </c>
      <c r="AB70" s="58">
        <f>NPV(3%,AB69:$AE69)</f>
        <v>574261.39692951762</v>
      </c>
      <c r="AC70" s="58">
        <f>NPV(3%,AC69:$AE69)</f>
        <v>436997.39205300313</v>
      </c>
      <c r="AD70" s="58">
        <f>NPV(3%,AD69:$AE69)</f>
        <v>295615.46703019319</v>
      </c>
      <c r="AE70" s="58">
        <f>NPV(3%,AE69:$AE69)</f>
        <v>149992.08425669902</v>
      </c>
    </row>
    <row r="71" spans="1:31" s="8" customFormat="1" x14ac:dyDescent="0.25">
      <c r="A71" s="71" t="s">
        <v>359</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row>
    <row r="72" spans="1:31" x14ac:dyDescent="0.25">
      <c r="A72" s="73" t="s">
        <v>324</v>
      </c>
      <c r="B72" s="57">
        <f>195175.8512</f>
        <v>195175.8512</v>
      </c>
      <c r="C72" s="57">
        <f>194104.2464</f>
        <v>194104.2464</v>
      </c>
      <c r="D72" s="57">
        <f>194744.599</f>
        <v>194744.59899999999</v>
      </c>
      <c r="E72" s="57">
        <f>194333.973</f>
        <v>194333.973</v>
      </c>
      <c r="F72" s="57">
        <f>192877.6313</f>
        <v>192877.63130000001</v>
      </c>
      <c r="G72" s="57">
        <f>194155.9591</f>
        <v>194155.95910000001</v>
      </c>
      <c r="H72" s="57">
        <f>193416.2885</f>
        <v>193416.2885</v>
      </c>
      <c r="I72" s="57">
        <f>194966.982</f>
        <v>194966.98199999999</v>
      </c>
      <c r="J72" s="57">
        <f>194221.3824</f>
        <v>194221.3824</v>
      </c>
      <c r="K72" s="57">
        <f>194206.0508</f>
        <v>194206.0508</v>
      </c>
      <c r="L72" s="57">
        <f>193618.0431</f>
        <v>193618.04310000001</v>
      </c>
      <c r="M72" s="57">
        <f>194278.9274</f>
        <v>194278.92739999999</v>
      </c>
      <c r="N72" s="57">
        <f>193671.1667</f>
        <v>193671.1667</v>
      </c>
      <c r="O72" s="57">
        <f>192966.138</f>
        <v>192966.13800000001</v>
      </c>
      <c r="P72" s="57">
        <f>193993.9378</f>
        <v>193993.93780000001</v>
      </c>
      <c r="Q72" s="57">
        <f>194885.3316</f>
        <v>194885.3316</v>
      </c>
      <c r="R72" s="57">
        <f>193671.9286</f>
        <v>193671.92860000001</v>
      </c>
      <c r="S72" s="57">
        <f>194083.7203</f>
        <v>194083.72029999999</v>
      </c>
      <c r="T72" s="57">
        <f>194542.1588</f>
        <v>194542.1588</v>
      </c>
      <c r="U72" s="57">
        <f>194465.1014</f>
        <v>194465.10140000001</v>
      </c>
      <c r="V72" s="57">
        <f>192943.0345</f>
        <v>192943.03450000001</v>
      </c>
      <c r="W72" s="57">
        <f>194973.5731</f>
        <v>194973.57310000001</v>
      </c>
      <c r="X72" s="57">
        <f>195259.7678</f>
        <v>195259.7678</v>
      </c>
      <c r="Y72" s="57">
        <f>193859.0456</f>
        <v>193859.04560000001</v>
      </c>
      <c r="Z72" s="57">
        <f>193158.349</f>
        <v>193158.34899999999</v>
      </c>
      <c r="AA72" s="57">
        <f>192102.8995</f>
        <v>192102.8995</v>
      </c>
      <c r="AB72" s="57">
        <f>193631.3781</f>
        <v>193631.3781</v>
      </c>
      <c r="AC72" s="57">
        <f>194912.2311</f>
        <v>194912.2311</v>
      </c>
      <c r="AD72" s="57">
        <f>194443.4819</f>
        <v>194443.48190000001</v>
      </c>
      <c r="AE72" s="57">
        <f>194254.4373</f>
        <v>194254.43729999999</v>
      </c>
    </row>
    <row r="73" spans="1:31" x14ac:dyDescent="0.25">
      <c r="A73" s="74" t="s">
        <v>374</v>
      </c>
      <c r="B73" s="58">
        <f>3804208.32</f>
        <v>3804208.32</v>
      </c>
      <c r="C73" s="58">
        <f>3723158.718</f>
        <v>3723158.7179999999</v>
      </c>
      <c r="D73" s="58">
        <f>3640749.233</f>
        <v>3640749.233</v>
      </c>
      <c r="E73" s="58">
        <f>3555227.111</f>
        <v>3555227.111</v>
      </c>
      <c r="F73" s="58">
        <f>3467549.952</f>
        <v>3467549.952</v>
      </c>
      <c r="G73" s="58">
        <f>3378698.819</f>
        <v>3378698.8190000001</v>
      </c>
      <c r="H73" s="58">
        <f>3285903.824</f>
        <v>3285903.824</v>
      </c>
      <c r="I73" s="58">
        <f>3191064.651</f>
        <v>3191064.6510000001</v>
      </c>
      <c r="J73" s="58">
        <f>3091829.608</f>
        <v>3091829.608</v>
      </c>
      <c r="K73" s="58">
        <f>2990363.114</f>
        <v>2990363.1140000001</v>
      </c>
      <c r="L73" s="58">
        <f>2885867.957</f>
        <v>2885867.9569999999</v>
      </c>
      <c r="M73" s="58">
        <f>2778825.952</f>
        <v>2778825.952</v>
      </c>
      <c r="N73" s="58">
        <f>2667911.803</f>
        <v>2667911.8029999998</v>
      </c>
      <c r="O73" s="58">
        <f>2554277.991</f>
        <v>2554277.9909999999</v>
      </c>
      <c r="P73" s="58">
        <f>2437940.193</f>
        <v>2437940.193</v>
      </c>
      <c r="Q73" s="58">
        <f>2317084.461</f>
        <v>2317084.4610000001</v>
      </c>
      <c r="R73" s="58">
        <f>2191711.663</f>
        <v>2191711.6630000002</v>
      </c>
      <c r="S73" s="58">
        <f>2063791.084</f>
        <v>2063791.084</v>
      </c>
      <c r="T73" s="58">
        <f>1931621.096</f>
        <v>1931621.0959999999</v>
      </c>
      <c r="U73" s="58">
        <f>1795027.57</f>
        <v>1795027.57</v>
      </c>
      <c r="V73" s="58">
        <f>1654413.296</f>
        <v>1654413.2960000001</v>
      </c>
      <c r="W73" s="58">
        <f>1511102.661</f>
        <v>1511102.6610000001</v>
      </c>
      <c r="X73" s="58">
        <f>1361462.167</f>
        <v>1361462.1669999999</v>
      </c>
      <c r="Y73" s="58">
        <f>1207046.265</f>
        <v>1207046.2649999999</v>
      </c>
      <c r="Z73" s="58">
        <f>1049398.607</f>
        <v>1049398.6070000001</v>
      </c>
      <c r="AA73" s="58">
        <f>887722.2161</f>
        <v>887722.21609999996</v>
      </c>
      <c r="AB73" s="58">
        <f>722250.9831</f>
        <v>722250.98309999995</v>
      </c>
      <c r="AC73" s="58">
        <f>550287.1345</f>
        <v>550287.13450000004</v>
      </c>
      <c r="AD73" s="58">
        <f>371883.5174</f>
        <v>371883.51740000001</v>
      </c>
      <c r="AE73" s="58">
        <f>188596.541</f>
        <v>188596.541</v>
      </c>
    </row>
    <row r="74" spans="1:31" x14ac:dyDescent="0.25">
      <c r="A74" s="72" t="s">
        <v>386</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row>
    <row r="75" spans="1:31" x14ac:dyDescent="0.25">
      <c r="A75" s="75" t="s">
        <v>324</v>
      </c>
      <c r="B75" s="58">
        <f>3716266.029</f>
        <v>3716266.0290000001</v>
      </c>
      <c r="C75" s="58">
        <f>3629577.962</f>
        <v>3629577.9619999998</v>
      </c>
      <c r="D75" s="58">
        <f>3541544.869</f>
        <v>3541544.8689999999</v>
      </c>
      <c r="E75" s="58">
        <f>3450367.402</f>
        <v>3450367.4019999998</v>
      </c>
      <c r="F75" s="58">
        <f>3357660.14</f>
        <v>3357660.14</v>
      </c>
      <c r="G75" s="58">
        <f>3263523.724</f>
        <v>3263523.7239999999</v>
      </c>
      <c r="H75" s="58">
        <f>3166352.811</f>
        <v>3166352.8110000002</v>
      </c>
      <c r="I75" s="58">
        <f>3067930.6</f>
        <v>3067930.6</v>
      </c>
      <c r="J75" s="58">
        <f>2966223.679</f>
        <v>2966223.679</v>
      </c>
      <c r="K75" s="58">
        <f>2862042.554</f>
        <v>2862042.554</v>
      </c>
      <c r="L75" s="58">
        <f>2755886.278</f>
        <v>2755886.2779999999</v>
      </c>
      <c r="M75" s="58">
        <f>2647678.968</f>
        <v>2647678.9679999999</v>
      </c>
      <c r="N75" s="58">
        <f>2537176.801</f>
        <v>2537176.801</v>
      </c>
      <c r="O75" s="58">
        <f>2423318.894</f>
        <v>2423318.8939999999</v>
      </c>
      <c r="P75" s="58">
        <f>2307866.179</f>
        <v>2307866.179</v>
      </c>
      <c r="Q75" s="58">
        <f>2190455.543</f>
        <v>2190455.5430000001</v>
      </c>
      <c r="R75" s="58">
        <f>2067664.642</f>
        <v>2067664.642</v>
      </c>
      <c r="S75" s="58">
        <f>1943025.896</f>
        <v>1943025.8959999999</v>
      </c>
      <c r="T75" s="58">
        <f>1817247.009</f>
        <v>1817247.0090000001</v>
      </c>
      <c r="U75" s="58">
        <f>1685128.915</f>
        <v>1685128.915</v>
      </c>
      <c r="V75" s="58">
        <f>1550242.058</f>
        <v>1550242.058</v>
      </c>
      <c r="W75" s="58">
        <f>1413101.712</f>
        <v>1413101.7120000001</v>
      </c>
      <c r="X75" s="58">
        <f>1270165.644</f>
        <v>1270165.6440000001</v>
      </c>
      <c r="Y75" s="58">
        <f>1125240.256</f>
        <v>1125240.2560000001</v>
      </c>
      <c r="Z75" s="58">
        <f>978805.3511</f>
        <v>978805.35109999997</v>
      </c>
      <c r="AA75" s="58">
        <f>828343.1284</f>
        <v>828343.12840000005</v>
      </c>
      <c r="AB75" s="58">
        <f>674792.6452</f>
        <v>674792.64520000003</v>
      </c>
      <c r="AC75" s="58">
        <f>514523.7849</f>
        <v>514523.78490000003</v>
      </c>
      <c r="AD75" s="58">
        <f>346560.5628</f>
        <v>346560.56280000001</v>
      </c>
      <c r="AE75" s="58">
        <f>176768.3506</f>
        <v>176768.35060000001</v>
      </c>
    </row>
    <row r="76" spans="1:31" x14ac:dyDescent="0.25">
      <c r="A76" s="76" t="s">
        <v>385</v>
      </c>
      <c r="B76" s="58">
        <f>3716266.029</f>
        <v>3716266.0290000001</v>
      </c>
      <c r="C76" s="58">
        <f>3629577.962</f>
        <v>3629577.9619999998</v>
      </c>
      <c r="D76" s="58">
        <f>3541544.869</f>
        <v>3541544.8689999999</v>
      </c>
      <c r="E76" s="58">
        <f>3450367.402</f>
        <v>3450367.4019999998</v>
      </c>
      <c r="F76" s="58">
        <f>3357660.14</f>
        <v>3357660.14</v>
      </c>
      <c r="G76" s="58">
        <f>3263523.724</f>
        <v>3263523.7239999999</v>
      </c>
      <c r="H76" s="58">
        <f>3166352.811</f>
        <v>3166352.8110000002</v>
      </c>
      <c r="I76" s="58">
        <f>3067930.6</f>
        <v>3067930.6</v>
      </c>
      <c r="J76" s="58">
        <f>2966223.679</f>
        <v>2966223.679</v>
      </c>
      <c r="K76" s="58">
        <f>2862042.554</f>
        <v>2862042.554</v>
      </c>
      <c r="L76" s="58">
        <f>2755886.278</f>
        <v>2755886.2779999999</v>
      </c>
      <c r="M76" s="58">
        <f>2647678.968</f>
        <v>2647678.9679999999</v>
      </c>
      <c r="N76" s="58">
        <f>2537176.801</f>
        <v>2537176.801</v>
      </c>
      <c r="O76" s="58">
        <f>2423318.894</f>
        <v>2423318.8939999999</v>
      </c>
      <c r="P76" s="58">
        <f>2307866.179</f>
        <v>2307866.179</v>
      </c>
      <c r="Q76" s="58">
        <f>2190455.543</f>
        <v>2190455.5430000001</v>
      </c>
      <c r="R76" s="58">
        <f>2067664.642</f>
        <v>2067664.642</v>
      </c>
      <c r="S76" s="58">
        <f>1943025.896</f>
        <v>1943025.8959999999</v>
      </c>
      <c r="T76" s="58">
        <f>1817247.009</f>
        <v>1817247.0090000001</v>
      </c>
      <c r="U76" s="58">
        <f>1685128.915</f>
        <v>1685128.915</v>
      </c>
      <c r="V76" s="58">
        <f>1550242.058</f>
        <v>1550242.058</v>
      </c>
      <c r="W76" s="58">
        <f>1413101.712</f>
        <v>1413101.7120000001</v>
      </c>
      <c r="X76" s="58">
        <f>1270165.644</f>
        <v>1270165.6440000001</v>
      </c>
      <c r="Y76" s="58">
        <f>1125240.256</f>
        <v>1125240.2560000001</v>
      </c>
      <c r="Z76" s="58">
        <f>978805.3511</f>
        <v>978805.35109999997</v>
      </c>
      <c r="AA76" s="58">
        <f>828343.1284</f>
        <v>828343.12840000005</v>
      </c>
      <c r="AB76" s="58">
        <f>674792.6452</f>
        <v>674792.64520000003</v>
      </c>
      <c r="AC76" s="58">
        <f>514523.7849</f>
        <v>514523.78490000003</v>
      </c>
      <c r="AD76" s="58">
        <f>346560.5628</f>
        <v>346560.56280000001</v>
      </c>
      <c r="AE76" s="58">
        <f>176768.3506</f>
        <v>176768.35060000001</v>
      </c>
    </row>
    <row r="77" spans="1:31" x14ac:dyDescent="0.25">
      <c r="A77" s="77" t="s">
        <v>388</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row>
    <row r="78" spans="1:31" x14ac:dyDescent="0.25">
      <c r="A78" s="76" t="s">
        <v>324</v>
      </c>
      <c r="B78" s="58">
        <f>198176.0477</f>
        <v>198176.0477</v>
      </c>
      <c r="C78" s="58">
        <f>196148.5986</f>
        <v>196148.5986</v>
      </c>
      <c r="D78" s="58">
        <f>197191.2867</f>
        <v>197191.2867</v>
      </c>
      <c r="E78" s="58">
        <f>195038.2064</f>
        <v>195038.2064</v>
      </c>
      <c r="F78" s="58">
        <f>192633.6361</f>
        <v>192633.6361</v>
      </c>
      <c r="G78" s="58">
        <f>192918.1695</f>
        <v>192918.16949999999</v>
      </c>
      <c r="H78" s="58">
        <f>190663.1322</f>
        <v>190663.13219999999</v>
      </c>
      <c r="I78" s="58">
        <f>191367.6698</f>
        <v>191367.6698</v>
      </c>
      <c r="J78" s="58">
        <f>189557.9021</f>
        <v>189557.90210000001</v>
      </c>
      <c r="K78" s="58">
        <f>188424.892</f>
        <v>188424.89199999999</v>
      </c>
      <c r="L78" s="58">
        <f>187865.7221</f>
        <v>187865.72210000001</v>
      </c>
      <c r="M78" s="58">
        <f>185511.7795</f>
        <v>185511.7795</v>
      </c>
      <c r="N78" s="58">
        <f>185547.2662</f>
        <v>185547.26620000001</v>
      </c>
      <c r="O78" s="58">
        <f>183094.5534</f>
        <v>183094.5534</v>
      </c>
      <c r="P78" s="58">
        <f>182323.8196</f>
        <v>182323.81959999999</v>
      </c>
      <c r="Q78" s="58">
        <f>182888.404</f>
        <v>182888.40400000001</v>
      </c>
      <c r="R78" s="58">
        <f>178373.7449</f>
        <v>178373.74489999999</v>
      </c>
      <c r="S78" s="58">
        <f>179491.2824</f>
        <v>179491.2824</v>
      </c>
      <c r="T78" s="58">
        <f>182561.6109</f>
        <v>182561.6109</v>
      </c>
      <c r="U78" s="58">
        <f>182217.3621</f>
        <v>182217.3621</v>
      </c>
      <c r="V78" s="58">
        <f>181500.9301</f>
        <v>181500.9301</v>
      </c>
      <c r="W78" s="58">
        <f>183049.3163</f>
        <v>183049.31630000001</v>
      </c>
      <c r="X78" s="58">
        <f>181831.1375</f>
        <v>181831.13750000001</v>
      </c>
      <c r="Y78" s="58">
        <f>179815.9683</f>
        <v>179815.96830000001</v>
      </c>
      <c r="Z78" s="58">
        <f>180281.6496</f>
        <v>180281.6496</v>
      </c>
      <c r="AA78" s="58">
        <f>178400.7771</f>
        <v>178400.77710000001</v>
      </c>
      <c r="AB78" s="58">
        <f>180512.6396</f>
        <v>180512.63959999999</v>
      </c>
      <c r="AC78" s="58">
        <f>183398.9356</f>
        <v>183398.9356</v>
      </c>
      <c r="AD78" s="58">
        <f>180189.0292</f>
        <v>180189.02919999999</v>
      </c>
      <c r="AE78" s="58">
        <f>182071.4011</f>
        <v>182071.40109999999</v>
      </c>
    </row>
    <row r="79" spans="1:31" x14ac:dyDescent="0.25">
      <c r="A79" s="76" t="s">
        <v>385</v>
      </c>
      <c r="B79" s="58">
        <f>3668343.48</f>
        <v>3668343.48</v>
      </c>
      <c r="C79" s="58">
        <f>3580217.737</f>
        <v>3580217.7370000002</v>
      </c>
      <c r="D79" s="58">
        <f>3491475.67</f>
        <v>3491475.67</v>
      </c>
      <c r="E79" s="58">
        <f>3399028.654</f>
        <v>3399028.6540000001</v>
      </c>
      <c r="F79" s="58">
        <f>3305961.307</f>
        <v>3305961.307</v>
      </c>
      <c r="G79" s="58">
        <f>3212506.51</f>
        <v>3212506.51</v>
      </c>
      <c r="H79" s="58">
        <f>3115963.536</f>
        <v>3115963.5359999998</v>
      </c>
      <c r="I79" s="58">
        <f>3018779.31</f>
        <v>3018779.31</v>
      </c>
      <c r="J79" s="58">
        <f>2917975.019</f>
        <v>2917975.0189999999</v>
      </c>
      <c r="K79" s="58">
        <f>2815956.368</f>
        <v>2815956.3679999998</v>
      </c>
      <c r="L79" s="58">
        <f>2712010.167</f>
        <v>2712010.1669999999</v>
      </c>
      <c r="M79" s="58">
        <f>2605504.75</f>
        <v>2605504.75</v>
      </c>
      <c r="N79" s="58">
        <f>2498158.113</f>
        <v>2498158.1129999999</v>
      </c>
      <c r="O79" s="58">
        <f>2387555.59</f>
        <v>2387555.59</v>
      </c>
      <c r="P79" s="58">
        <f>2276087.704</f>
        <v>2276087.7039999999</v>
      </c>
      <c r="Q79" s="58">
        <f>2162046.516</f>
        <v>2162046.5159999998</v>
      </c>
      <c r="R79" s="58">
        <f>2044019.507</f>
        <v>2044019.507</v>
      </c>
      <c r="S79" s="58">
        <f>1926966.348</f>
        <v>1926966.348</v>
      </c>
      <c r="T79" s="58">
        <f>1805284.056</f>
        <v>1805284.0560000001</v>
      </c>
      <c r="U79" s="58">
        <f>1676880.966</f>
        <v>1676880.966</v>
      </c>
      <c r="V79" s="58">
        <f>1544970.033</f>
        <v>1544970.0330000001</v>
      </c>
      <c r="W79" s="58">
        <f>1409818.204</f>
        <v>1409818.2039999999</v>
      </c>
      <c r="X79" s="58">
        <f>1269063.434</f>
        <v>1269063.4339999999</v>
      </c>
      <c r="Y79" s="58">
        <f>1125304.2</f>
        <v>1125304.2</v>
      </c>
      <c r="Z79" s="58">
        <f>979247.3573</f>
        <v>979247.35730000003</v>
      </c>
      <c r="AA79" s="58">
        <f>828343.1284</f>
        <v>828343.12840000005</v>
      </c>
      <c r="AB79" s="58">
        <f>674792.6452</f>
        <v>674792.64520000003</v>
      </c>
      <c r="AC79" s="58">
        <f>514523.7849</f>
        <v>514523.78490000003</v>
      </c>
      <c r="AD79" s="58">
        <f>346560.5628</f>
        <v>346560.56280000001</v>
      </c>
      <c r="AE79" s="58">
        <f>176768.3506</f>
        <v>176768.35060000001</v>
      </c>
    </row>
    <row r="80" spans="1:31" x14ac:dyDescent="0.25">
      <c r="B80" s="62"/>
      <c r="I80" s="1"/>
    </row>
    <row r="81" spans="1:31" ht="30" customHeight="1" x14ac:dyDescent="0.25">
      <c r="A81" s="54" t="s">
        <v>1</v>
      </c>
      <c r="B81" s="8"/>
      <c r="C81" s="8"/>
      <c r="D81" s="8"/>
      <c r="E81" s="8"/>
      <c r="F81" s="8"/>
      <c r="G81" s="8"/>
    </row>
    <row r="82" spans="1:31" x14ac:dyDescent="0.25">
      <c r="A82" t="s">
        <v>354</v>
      </c>
      <c r="B82" s="9">
        <f>0.3</f>
        <v>0.3</v>
      </c>
      <c r="C82" s="9">
        <f>0.3</f>
        <v>0.3</v>
      </c>
      <c r="D82" s="9">
        <f>0.3</f>
        <v>0.3</v>
      </c>
      <c r="E82" s="9">
        <f>0.3</f>
        <v>0.3</v>
      </c>
      <c r="F82" s="9">
        <f>0.3</f>
        <v>0.3</v>
      </c>
      <c r="G82" s="9">
        <f>0.3</f>
        <v>0.3</v>
      </c>
      <c r="H82" s="9">
        <f>0.3</f>
        <v>0.3</v>
      </c>
      <c r="I82" s="9">
        <f>0.3</f>
        <v>0.3</v>
      </c>
      <c r="J82" s="9">
        <f>0.3</f>
        <v>0.3</v>
      </c>
      <c r="K82" s="9">
        <f>0.3</f>
        <v>0.3</v>
      </c>
      <c r="L82" s="9">
        <f>0.3</f>
        <v>0.3</v>
      </c>
      <c r="M82" s="9">
        <f>0.3</f>
        <v>0.3</v>
      </c>
      <c r="N82" s="9">
        <f>0.3</f>
        <v>0.3</v>
      </c>
      <c r="O82" s="9">
        <f>0.3</f>
        <v>0.3</v>
      </c>
      <c r="P82" s="9">
        <f>0.3</f>
        <v>0.3</v>
      </c>
      <c r="Q82" s="9">
        <f>0.3</f>
        <v>0.3</v>
      </c>
      <c r="R82" s="9">
        <f>0.3</f>
        <v>0.3</v>
      </c>
      <c r="S82" s="9">
        <f>0.3</f>
        <v>0.3</v>
      </c>
      <c r="T82" s="9">
        <f>0.3</f>
        <v>0.3</v>
      </c>
      <c r="U82" s="9">
        <f>0.3</f>
        <v>0.3</v>
      </c>
      <c r="V82" s="9">
        <f>0.3</f>
        <v>0.3</v>
      </c>
      <c r="W82" s="9">
        <f>0.3</f>
        <v>0.3</v>
      </c>
      <c r="X82" s="9">
        <f>0.3</f>
        <v>0.3</v>
      </c>
      <c r="Y82" s="9">
        <f>0.3</f>
        <v>0.3</v>
      </c>
      <c r="Z82" s="9">
        <f>0.3</f>
        <v>0.3</v>
      </c>
      <c r="AA82" s="9">
        <f>0.3</f>
        <v>0.3</v>
      </c>
      <c r="AB82" s="9">
        <f>0.3</f>
        <v>0.3</v>
      </c>
      <c r="AC82" s="9">
        <f>0.3</f>
        <v>0.3</v>
      </c>
      <c r="AD82" s="9">
        <f>0.3</f>
        <v>0.3</v>
      </c>
      <c r="AE82" s="9">
        <v>0.05</v>
      </c>
    </row>
    <row r="83" spans="1:31" x14ac:dyDescent="0.25">
      <c r="A83" t="s">
        <v>355</v>
      </c>
      <c r="B83">
        <f>0</f>
        <v>0</v>
      </c>
      <c r="C83">
        <f>0</f>
        <v>0</v>
      </c>
      <c r="D83">
        <f>0</f>
        <v>0</v>
      </c>
      <c r="E83">
        <f>0</f>
        <v>0</v>
      </c>
      <c r="F83">
        <f>0</f>
        <v>0</v>
      </c>
      <c r="G83">
        <f>0</f>
        <v>0</v>
      </c>
      <c r="H83">
        <f>0</f>
        <v>0</v>
      </c>
      <c r="I83">
        <f>0</f>
        <v>0</v>
      </c>
      <c r="J83">
        <f>0</f>
        <v>0</v>
      </c>
      <c r="K83">
        <f>0</f>
        <v>0</v>
      </c>
      <c r="L83">
        <f>0</f>
        <v>0</v>
      </c>
      <c r="M83">
        <f>0</f>
        <v>0</v>
      </c>
      <c r="N83">
        <f>0</f>
        <v>0</v>
      </c>
      <c r="O83">
        <f>0</f>
        <v>0</v>
      </c>
      <c r="P83">
        <f>0</f>
        <v>0</v>
      </c>
      <c r="Q83">
        <f>0</f>
        <v>0</v>
      </c>
      <c r="R83">
        <f>0</f>
        <v>0</v>
      </c>
      <c r="S83">
        <f>0</f>
        <v>0</v>
      </c>
      <c r="T83">
        <f>0</f>
        <v>0</v>
      </c>
      <c r="U83">
        <f>0</f>
        <v>0</v>
      </c>
      <c r="V83">
        <f>0</f>
        <v>0</v>
      </c>
      <c r="W83">
        <f>0</f>
        <v>0</v>
      </c>
      <c r="X83">
        <f>0</f>
        <v>0</v>
      </c>
      <c r="Y83">
        <f>0</f>
        <v>0</v>
      </c>
      <c r="Z83">
        <f>0</f>
        <v>0</v>
      </c>
      <c r="AA83">
        <f>0</f>
        <v>0</v>
      </c>
      <c r="AB83">
        <f>0</f>
        <v>0</v>
      </c>
      <c r="AC83">
        <f>0</f>
        <v>0</v>
      </c>
      <c r="AD83">
        <f>0</f>
        <v>0</v>
      </c>
      <c r="AE83">
        <f>0</f>
        <v>0</v>
      </c>
    </row>
    <row r="84" spans="1:31" x14ac:dyDescent="0.25">
      <c r="A84" t="s">
        <v>356</v>
      </c>
      <c r="B84" s="10">
        <f>0.05</f>
        <v>0.05</v>
      </c>
      <c r="C84" s="10">
        <f>0.05</f>
        <v>0.05</v>
      </c>
      <c r="D84" s="10">
        <f>0.05</f>
        <v>0.05</v>
      </c>
      <c r="E84" s="10">
        <f>0.05</f>
        <v>0.05</v>
      </c>
      <c r="F84" s="10">
        <f>0.05</f>
        <v>0.05</v>
      </c>
      <c r="G84" s="10">
        <f>0.05</f>
        <v>0.05</v>
      </c>
      <c r="H84" s="10">
        <f>0.05</f>
        <v>0.05</v>
      </c>
      <c r="I84" s="10">
        <f>0.05</f>
        <v>0.05</v>
      </c>
      <c r="J84" s="10">
        <f>0.05</f>
        <v>0.05</v>
      </c>
      <c r="K84" s="10">
        <f>0.05</f>
        <v>0.05</v>
      </c>
      <c r="L84" s="10">
        <f>0.05</f>
        <v>0.05</v>
      </c>
      <c r="M84" s="10">
        <f>0.05</f>
        <v>0.05</v>
      </c>
      <c r="N84" s="10">
        <f>0.05</f>
        <v>0.05</v>
      </c>
      <c r="O84" s="10">
        <f>0.05</f>
        <v>0.05</v>
      </c>
      <c r="P84" s="10">
        <f>0.05</f>
        <v>0.05</v>
      </c>
      <c r="Q84" s="10">
        <f>0.05</f>
        <v>0.05</v>
      </c>
      <c r="R84" s="10">
        <f>0.05</f>
        <v>0.05</v>
      </c>
      <c r="S84" s="10">
        <f>0.05</f>
        <v>0.05</v>
      </c>
      <c r="T84" s="10">
        <f>0.05</f>
        <v>0.05</v>
      </c>
      <c r="U84" s="10">
        <f>0.05</f>
        <v>0.05</v>
      </c>
      <c r="V84" s="10">
        <f>0.05</f>
        <v>0.05</v>
      </c>
      <c r="W84" s="10">
        <f>0.05</f>
        <v>0.05</v>
      </c>
      <c r="X84" s="10">
        <f>0.05</f>
        <v>0.05</v>
      </c>
      <c r="Y84" s="10">
        <f>0.05</f>
        <v>0.05</v>
      </c>
      <c r="Z84" s="10">
        <f>0.05</f>
        <v>0.05</v>
      </c>
      <c r="AA84" s="10">
        <f>0.05</f>
        <v>0.05</v>
      </c>
      <c r="AB84" s="10">
        <f>0.05</f>
        <v>0.05</v>
      </c>
      <c r="AC84" s="10">
        <f>0.05</f>
        <v>0.05</v>
      </c>
      <c r="AD84" s="10">
        <f>0.05</f>
        <v>0.05</v>
      </c>
      <c r="AE84" s="10">
        <f>0.05</f>
        <v>0.05</v>
      </c>
    </row>
    <row r="85" spans="1:31" x14ac:dyDescent="0.25">
      <c r="A85" t="s">
        <v>357</v>
      </c>
      <c r="B85">
        <f>0</f>
        <v>0</v>
      </c>
      <c r="C85">
        <f>0</f>
        <v>0</v>
      </c>
      <c r="D85">
        <f>0</f>
        <v>0</v>
      </c>
      <c r="E85">
        <f>0</f>
        <v>0</v>
      </c>
      <c r="F85">
        <f>0</f>
        <v>0</v>
      </c>
      <c r="G85">
        <f>0</f>
        <v>0</v>
      </c>
      <c r="H85">
        <f>0</f>
        <v>0</v>
      </c>
      <c r="I85">
        <f>0</f>
        <v>0</v>
      </c>
      <c r="J85">
        <f>0</f>
        <v>0</v>
      </c>
      <c r="K85">
        <f>0</f>
        <v>0</v>
      </c>
      <c r="L85">
        <f>0</f>
        <v>0</v>
      </c>
      <c r="M85">
        <f>0</f>
        <v>0</v>
      </c>
      <c r="N85">
        <f>0</f>
        <v>0</v>
      </c>
      <c r="O85">
        <f>0</f>
        <v>0</v>
      </c>
      <c r="P85">
        <f>0</f>
        <v>0</v>
      </c>
      <c r="Q85">
        <f>0</f>
        <v>0</v>
      </c>
      <c r="R85">
        <f>0</f>
        <v>0</v>
      </c>
      <c r="S85">
        <f>0</f>
        <v>0</v>
      </c>
      <c r="T85">
        <f>0</f>
        <v>0</v>
      </c>
      <c r="U85">
        <f>0</f>
        <v>0</v>
      </c>
      <c r="V85">
        <f>0</f>
        <v>0</v>
      </c>
      <c r="W85">
        <f>0</f>
        <v>0</v>
      </c>
      <c r="X85">
        <f>0</f>
        <v>0</v>
      </c>
      <c r="Y85">
        <f>0</f>
        <v>0</v>
      </c>
      <c r="Z85">
        <f>0</f>
        <v>0</v>
      </c>
      <c r="AA85">
        <f>0</f>
        <v>0</v>
      </c>
      <c r="AB85">
        <f>0</f>
        <v>0</v>
      </c>
      <c r="AC85">
        <f>0</f>
        <v>0</v>
      </c>
      <c r="AD85">
        <f>0</f>
        <v>0</v>
      </c>
      <c r="AE85">
        <f>0</f>
        <v>0</v>
      </c>
    </row>
    <row r="87" spans="1:31" x14ac:dyDescent="0.25">
      <c r="A87" s="8"/>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31" x14ac:dyDescent="0.25">
      <c r="A88" t="s">
        <v>313</v>
      </c>
      <c r="B88" s="34" t="s">
        <v>312</v>
      </c>
      <c r="C88" s="36" t="s">
        <v>328</v>
      </c>
      <c r="D88" s="37" t="s">
        <v>329</v>
      </c>
      <c r="E88" s="19"/>
      <c r="F88" s="19"/>
      <c r="G88" s="19"/>
      <c r="H88" s="20"/>
      <c r="J88" s="1"/>
    </row>
    <row r="89" spans="1:31" ht="30" x14ac:dyDescent="0.25">
      <c r="B89" s="21" t="s">
        <v>77</v>
      </c>
      <c r="C89" s="10">
        <v>11.25</v>
      </c>
      <c r="D89" s="10">
        <v>19.8</v>
      </c>
      <c r="E89" s="51" t="s">
        <v>348</v>
      </c>
      <c r="F89" s="10">
        <v>3.19</v>
      </c>
      <c r="G89" s="10">
        <v>8.0500000000000007</v>
      </c>
      <c r="H89" s="23"/>
      <c r="I89" s="17"/>
      <c r="J89" s="11"/>
      <c r="K89" s="11"/>
      <c r="L89" s="11"/>
    </row>
    <row r="90" spans="1:31" ht="30" x14ac:dyDescent="0.25">
      <c r="B90" s="21" t="s">
        <v>78</v>
      </c>
      <c r="C90" s="10">
        <v>20.8</v>
      </c>
      <c r="D90" s="10">
        <v>23.5</v>
      </c>
      <c r="E90" s="50" t="s">
        <v>347</v>
      </c>
      <c r="F90" s="10">
        <v>3.52</v>
      </c>
      <c r="G90" s="10">
        <v>8.7799999999999994</v>
      </c>
      <c r="H90" s="23"/>
      <c r="I90" s="17"/>
      <c r="J90" s="11"/>
      <c r="K90" s="11"/>
      <c r="L90" s="11"/>
    </row>
    <row r="91" spans="1:31" x14ac:dyDescent="0.25">
      <c r="B91" s="21" t="s">
        <v>79</v>
      </c>
      <c r="C91" s="10">
        <v>9</v>
      </c>
      <c r="D91" s="10">
        <v>5.5</v>
      </c>
      <c r="E91" s="22"/>
      <c r="F91" s="1"/>
      <c r="G91" s="1"/>
      <c r="H91" s="23"/>
      <c r="I91" s="17"/>
      <c r="J91" s="11"/>
      <c r="K91" s="11"/>
      <c r="L91" s="11"/>
    </row>
    <row r="92" spans="1:31" x14ac:dyDescent="0.25">
      <c r="B92" s="21" t="s">
        <v>80</v>
      </c>
      <c r="C92" s="10">
        <v>0</v>
      </c>
      <c r="D92" s="10">
        <v>0</v>
      </c>
      <c r="E92" s="35" t="s">
        <v>310</v>
      </c>
      <c r="F92" s="1"/>
      <c r="G92" s="1"/>
      <c r="H92" s="23"/>
      <c r="I92" s="17"/>
      <c r="J92" s="11"/>
      <c r="K92" s="11"/>
      <c r="L92" s="11"/>
    </row>
    <row r="93" spans="1:31" x14ac:dyDescent="0.25">
      <c r="B93" s="21" t="s">
        <v>81</v>
      </c>
      <c r="C93" s="10">
        <v>78.180000000000007</v>
      </c>
      <c r="D93" s="10">
        <v>53.97</v>
      </c>
      <c r="E93" s="53" t="s">
        <v>349</v>
      </c>
      <c r="F93" s="10">
        <v>15.4</v>
      </c>
      <c r="G93" s="1"/>
      <c r="H93" s="23"/>
      <c r="I93" s="17"/>
      <c r="J93" s="11"/>
      <c r="K93" s="11"/>
      <c r="L93" s="11"/>
    </row>
    <row r="94" spans="1:31" x14ac:dyDescent="0.25">
      <c r="B94" s="21" t="s">
        <v>82</v>
      </c>
      <c r="C94" s="45">
        <f>F95</f>
        <v>15.4</v>
      </c>
      <c r="D94" s="10">
        <f>F93</f>
        <v>15.4</v>
      </c>
      <c r="E94" s="52" t="s">
        <v>45</v>
      </c>
      <c r="F94" s="10">
        <v>1</v>
      </c>
      <c r="G94" s="1"/>
      <c r="H94" s="23"/>
      <c r="I94" s="6"/>
      <c r="J94" s="11"/>
    </row>
    <row r="95" spans="1:31" x14ac:dyDescent="0.25">
      <c r="B95" s="21" t="s">
        <v>83</v>
      </c>
      <c r="C95" s="10">
        <v>15.19</v>
      </c>
      <c r="D95" s="10">
        <v>15.06</v>
      </c>
      <c r="E95" s="52" t="s">
        <v>311</v>
      </c>
      <c r="F95" s="45">
        <f>F93*F94</f>
        <v>15.4</v>
      </c>
      <c r="G95" s="1"/>
      <c r="H95" s="23"/>
      <c r="I95" s="17"/>
      <c r="J95" s="11"/>
      <c r="K95" s="11"/>
      <c r="L95" s="11"/>
    </row>
    <row r="96" spans="1:31" x14ac:dyDescent="0.25">
      <c r="B96" s="21" t="s">
        <v>84</v>
      </c>
      <c r="C96" s="10">
        <v>15.09</v>
      </c>
      <c r="D96" s="10">
        <v>15.52</v>
      </c>
      <c r="E96" s="1"/>
      <c r="F96" s="1"/>
      <c r="G96" s="1"/>
      <c r="H96" s="23"/>
      <c r="I96" s="17"/>
      <c r="J96" s="11"/>
      <c r="K96" s="11"/>
      <c r="L96" s="11"/>
    </row>
    <row r="97" spans="1:12" x14ac:dyDescent="0.25">
      <c r="B97" s="21" t="s">
        <v>85</v>
      </c>
      <c r="C97" s="10">
        <v>7</v>
      </c>
      <c r="D97" s="10">
        <v>7</v>
      </c>
      <c r="E97" s="35" t="s">
        <v>0</v>
      </c>
      <c r="F97" s="1">
        <v>2000</v>
      </c>
      <c r="G97" s="1"/>
      <c r="H97" s="23"/>
      <c r="I97" s="17" t="s">
        <v>392</v>
      </c>
      <c r="J97" s="11"/>
      <c r="K97" s="11"/>
      <c r="L97" s="11"/>
    </row>
    <row r="98" spans="1:12" x14ac:dyDescent="0.25">
      <c r="B98" s="21" t="s">
        <v>86</v>
      </c>
      <c r="C98" s="10">
        <v>4.0199999999999996</v>
      </c>
      <c r="D98" s="10">
        <v>3.58</v>
      </c>
      <c r="E98" s="35" t="s">
        <v>387</v>
      </c>
      <c r="F98">
        <v>0.75</v>
      </c>
      <c r="G98" s="1"/>
      <c r="H98" s="23"/>
      <c r="I98" s="17"/>
      <c r="J98" s="12"/>
      <c r="K98" s="12"/>
      <c r="L98" s="12"/>
    </row>
    <row r="99" spans="1:12" ht="28.5" customHeight="1" x14ac:dyDescent="0.25">
      <c r="B99" s="24" t="s">
        <v>2</v>
      </c>
      <c r="C99" s="45">
        <f>SUM(C89:C98)</f>
        <v>175.93</v>
      </c>
      <c r="D99" s="45">
        <f>SUM(D89:D98)</f>
        <v>159.33000000000001</v>
      </c>
      <c r="E99" s="78" t="s">
        <v>390</v>
      </c>
      <c r="F99" s="25">
        <v>0.1</v>
      </c>
      <c r="G99" s="25"/>
      <c r="H99" s="26"/>
      <c r="J99" s="1"/>
    </row>
    <row r="100" spans="1:12" x14ac:dyDescent="0.25">
      <c r="A100" s="32" t="s">
        <v>332</v>
      </c>
      <c r="J100" s="40"/>
    </row>
    <row r="101" spans="1:12" x14ac:dyDescent="0.25">
      <c r="A101" t="s">
        <v>314</v>
      </c>
      <c r="B101" s="18">
        <v>2006</v>
      </c>
      <c r="C101" s="19">
        <v>2007</v>
      </c>
      <c r="D101" s="19">
        <v>2008</v>
      </c>
      <c r="E101" s="19">
        <v>2009</v>
      </c>
      <c r="F101" s="19">
        <v>2010</v>
      </c>
      <c r="G101" s="19">
        <v>2011</v>
      </c>
      <c r="H101" s="19">
        <v>2012</v>
      </c>
      <c r="I101" s="19">
        <v>2013</v>
      </c>
      <c r="J101" s="39"/>
    </row>
    <row r="102" spans="1:12" x14ac:dyDescent="0.25">
      <c r="A102" t="s">
        <v>315</v>
      </c>
      <c r="B102" s="10">
        <v>44</v>
      </c>
      <c r="C102" s="10">
        <v>46</v>
      </c>
      <c r="D102" s="10">
        <v>44</v>
      </c>
      <c r="E102" s="10">
        <v>44</v>
      </c>
      <c r="F102" s="10">
        <v>43</v>
      </c>
      <c r="G102" s="10">
        <v>46</v>
      </c>
      <c r="H102" s="10">
        <v>46</v>
      </c>
      <c r="I102" s="10">
        <v>39.1</v>
      </c>
      <c r="J102" s="28"/>
      <c r="K102" s="30"/>
    </row>
    <row r="103" spans="1:12" x14ac:dyDescent="0.25">
      <c r="A103" t="s">
        <v>316</v>
      </c>
      <c r="B103" s="10">
        <v>3.19</v>
      </c>
      <c r="C103" s="10">
        <v>3.81</v>
      </c>
      <c r="D103" s="10">
        <v>5.77</v>
      </c>
      <c r="E103" s="10">
        <v>5.31</v>
      </c>
      <c r="F103" s="10">
        <v>4.8600000000000003</v>
      </c>
      <c r="G103" s="10">
        <v>6.24</v>
      </c>
      <c r="H103" s="10">
        <v>6.14</v>
      </c>
      <c r="I103" s="10">
        <v>8.0500000000000007</v>
      </c>
      <c r="J103" s="29"/>
    </row>
    <row r="104" spans="1:12" x14ac:dyDescent="0.25">
      <c r="A104" t="s">
        <v>334</v>
      </c>
      <c r="B104" s="45">
        <f>B110*$F$94</f>
        <v>3.9</v>
      </c>
      <c r="C104" s="45">
        <f t="shared" ref="C104:I104" si="13">C110*$F$94</f>
        <v>6.3</v>
      </c>
      <c r="D104" s="45">
        <f t="shared" si="13"/>
        <v>9.4</v>
      </c>
      <c r="E104" s="45">
        <f t="shared" si="13"/>
        <v>9.5</v>
      </c>
      <c r="F104" s="45">
        <f t="shared" si="13"/>
        <v>9.1</v>
      </c>
      <c r="G104" s="45">
        <f t="shared" si="13"/>
        <v>11.8</v>
      </c>
      <c r="H104" s="45">
        <f t="shared" si="13"/>
        <v>12</v>
      </c>
      <c r="I104" s="45">
        <f t="shared" si="13"/>
        <v>15.4</v>
      </c>
      <c r="J104" s="29"/>
    </row>
    <row r="105" spans="1:12" x14ac:dyDescent="0.25">
      <c r="A105" t="s">
        <v>318</v>
      </c>
      <c r="B105" s="10">
        <v>74.14</v>
      </c>
      <c r="C105" s="10">
        <v>84.609999999999985</v>
      </c>
      <c r="D105" s="10">
        <v>126.33000000000001</v>
      </c>
      <c r="E105" s="10">
        <v>144.88</v>
      </c>
      <c r="F105" s="10">
        <v>116.1</v>
      </c>
      <c r="G105" s="10">
        <v>156.51999999999998</v>
      </c>
      <c r="H105" s="10">
        <v>170.95000000000002</v>
      </c>
      <c r="I105" s="10">
        <v>183.63</v>
      </c>
      <c r="J105" s="38"/>
    </row>
    <row r="106" spans="1:12" x14ac:dyDescent="0.25">
      <c r="A106" t="s">
        <v>319</v>
      </c>
      <c r="B106" s="44">
        <f>B105-B104</f>
        <v>70.239999999999995</v>
      </c>
      <c r="C106" s="44">
        <f t="shared" ref="C106:I106" si="14">C105-C104</f>
        <v>78.309999999999988</v>
      </c>
      <c r="D106" s="44">
        <f t="shared" si="14"/>
        <v>116.93</v>
      </c>
      <c r="E106" s="44">
        <f t="shared" si="14"/>
        <v>135.38</v>
      </c>
      <c r="F106" s="44">
        <f t="shared" si="14"/>
        <v>107</v>
      </c>
      <c r="G106" s="44">
        <f t="shared" si="14"/>
        <v>144.71999999999997</v>
      </c>
      <c r="H106" s="44">
        <f t="shared" si="14"/>
        <v>158.95000000000002</v>
      </c>
      <c r="I106" s="44">
        <f t="shared" si="14"/>
        <v>168.23</v>
      </c>
      <c r="J106" s="42"/>
    </row>
    <row r="107" spans="1:12" x14ac:dyDescent="0.25">
      <c r="A107" s="32" t="s">
        <v>333</v>
      </c>
      <c r="J107" s="40"/>
    </row>
    <row r="108" spans="1:12" x14ac:dyDescent="0.25">
      <c r="A108" t="s">
        <v>315</v>
      </c>
      <c r="B108" s="10">
        <v>29</v>
      </c>
      <c r="C108" s="10">
        <v>30</v>
      </c>
      <c r="D108" s="10">
        <v>30</v>
      </c>
      <c r="E108" s="10">
        <v>30</v>
      </c>
      <c r="F108" s="10">
        <v>31</v>
      </c>
      <c r="G108" s="10">
        <v>35</v>
      </c>
      <c r="H108" s="10">
        <v>35</v>
      </c>
      <c r="I108" s="10">
        <v>32.700000000000003</v>
      </c>
      <c r="J108" s="27"/>
    </row>
    <row r="109" spans="1:12" x14ac:dyDescent="0.25">
      <c r="A109" t="s">
        <v>316</v>
      </c>
      <c r="B109" s="10">
        <v>3.52</v>
      </c>
      <c r="C109" s="10">
        <v>4.38</v>
      </c>
      <c r="D109" s="10">
        <v>6.19</v>
      </c>
      <c r="E109" s="10">
        <v>6.04</v>
      </c>
      <c r="F109" s="10">
        <v>5.49</v>
      </c>
      <c r="G109" s="10">
        <v>7.12</v>
      </c>
      <c r="H109" s="10">
        <v>7.42</v>
      </c>
      <c r="I109" s="10">
        <v>8.7799999999999994</v>
      </c>
      <c r="J109" s="41"/>
    </row>
    <row r="110" spans="1:12" x14ac:dyDescent="0.25">
      <c r="A110" t="s">
        <v>334</v>
      </c>
      <c r="B110" s="10">
        <v>3.9</v>
      </c>
      <c r="C110" s="10">
        <v>6.3</v>
      </c>
      <c r="D110" s="10">
        <v>9.4</v>
      </c>
      <c r="E110" s="10">
        <v>9.5</v>
      </c>
      <c r="F110" s="10">
        <v>9.1</v>
      </c>
      <c r="G110" s="10">
        <v>11.8</v>
      </c>
      <c r="H110" s="10">
        <v>12</v>
      </c>
      <c r="I110" s="10">
        <v>15.4</v>
      </c>
      <c r="J110" s="41"/>
    </row>
    <row r="111" spans="1:12" x14ac:dyDescent="0.25">
      <c r="A111" t="s">
        <v>317</v>
      </c>
      <c r="B111" s="10">
        <v>67.61999999999999</v>
      </c>
      <c r="C111" s="10">
        <v>71.86999999999999</v>
      </c>
      <c r="D111" s="10">
        <v>101.96</v>
      </c>
      <c r="E111" s="10">
        <v>121.07</v>
      </c>
      <c r="F111" s="10">
        <v>105.61</v>
      </c>
      <c r="G111" s="10">
        <v>139.11999999999998</v>
      </c>
      <c r="H111" s="10">
        <v>154.47</v>
      </c>
      <c r="I111" s="10">
        <v>159.33000000000001</v>
      </c>
      <c r="J111" s="31"/>
    </row>
    <row r="112" spans="1:12" x14ac:dyDescent="0.25">
      <c r="J112" s="1"/>
    </row>
    <row r="113" spans="1:10" x14ac:dyDescent="0.25">
      <c r="J113" s="1"/>
    </row>
    <row r="114" spans="1:10" x14ac:dyDescent="0.25">
      <c r="J114" s="1"/>
    </row>
    <row r="115" spans="1:10" x14ac:dyDescent="0.25">
      <c r="J115" s="1"/>
    </row>
    <row r="116" spans="1:10" x14ac:dyDescent="0.25">
      <c r="A116" s="32" t="s">
        <v>366</v>
      </c>
      <c r="B116" t="s">
        <v>367</v>
      </c>
      <c r="J116" s="1"/>
    </row>
    <row r="117" spans="1:10" x14ac:dyDescent="0.25">
      <c r="A117" s="63" t="s">
        <v>370</v>
      </c>
      <c r="B117" t="s">
        <v>368</v>
      </c>
      <c r="J117" s="1"/>
    </row>
    <row r="118" spans="1:10" x14ac:dyDescent="0.25">
      <c r="A118" s="63" t="s">
        <v>369</v>
      </c>
      <c r="B118" t="s">
        <v>371</v>
      </c>
    </row>
    <row r="119" spans="1:10" x14ac:dyDescent="0.25">
      <c r="A119" s="63" t="s">
        <v>372</v>
      </c>
      <c r="B119" t="s">
        <v>373</v>
      </c>
    </row>
  </sheetData>
  <conditionalFormatting sqref="B28:AE28 B37:AE37">
    <cfRule type="expression" dxfId="22" priority="94" stopIfTrue="1">
      <formula>RiskIsOutput</formula>
    </cfRule>
  </conditionalFormatting>
  <conditionalFormatting sqref="B87:AC87">
    <cfRule type="expression" dxfId="21" priority="95" stopIfTrue="1">
      <formula>RiskIsInput</formula>
    </cfRule>
  </conditionalFormatting>
  <conditionalFormatting sqref="B22:U23">
    <cfRule type="expression" dxfId="20" priority="203" stopIfTrue="1">
      <formula>RiskIsInput</formula>
    </cfRule>
  </conditionalFormatting>
  <conditionalFormatting sqref="B14:U14 B71:AE71 B42:AE42">
    <cfRule type="expression" dxfId="19" priority="232" stopIfTrue="1">
      <formula>RiskIsOutput</formula>
    </cfRule>
  </conditionalFormatting>
  <conditionalFormatting sqref="B12:AE12 B20:AE20">
    <cfRule type="expression" dxfId="18" priority="235" stopIfTrue="1">
      <formula>RiskIsInput</formula>
    </cfRule>
  </conditionalFormatting>
  <conditionalFormatting sqref="B80">
    <cfRule type="expression" dxfId="17" priority="238" stopIfTrue="1">
      <formula>RiskIsOutput</formula>
    </cfRule>
  </conditionalFormatting>
  <conditionalFormatting sqref="C80 B31:AE31 B34:AE34">
    <cfRule type="expression" dxfId="16" priority="241" stopIfTrue="1">
      <formula>RiskIsStatistics</formula>
    </cfRule>
  </conditionalFormatting>
  <conditionalFormatting sqref="J80">
    <cfRule type="expression" dxfId="15" priority="245" stopIfTrue="1">
      <formula>RiskIsStatistics</formula>
    </cfRule>
  </conditionalFormatting>
  <conditionalFormatting sqref="B48:AE48 B77:AE77 B45:AE45 B51:AE51">
    <cfRule type="expression" dxfId="14" priority="250" stopIfTrue="1">
      <formula>RiskIsStatistics</formula>
    </cfRule>
  </conditionalFormatting>
  <conditionalFormatting sqref="B74:AE74">
    <cfRule type="expression" dxfId="13" priority="5" stopIfTrue="1">
      <formula>RiskIsStatistics</formula>
    </cfRule>
  </conditionalFormatting>
  <conditionalFormatting sqref="B57:AE57">
    <cfRule type="expression" dxfId="12" priority="3" stopIfTrue="1">
      <formula>RiskIsOutput</formula>
    </cfRule>
  </conditionalFormatting>
  <conditionalFormatting sqref="B63:H63 B60:AE60 J63:AE63">
    <cfRule type="expression" dxfId="11" priority="4" stopIfTrue="1">
      <formula>RiskIsStatistics</formula>
    </cfRule>
  </conditionalFormatting>
  <conditionalFormatting sqref="B52:AE52">
    <cfRule type="expression" dxfId="10" priority="1" stopIfTrue="1">
      <formula>RiskIsOutput</formula>
    </cfRule>
  </conditionalFormatting>
  <conditionalFormatting sqref="AE82">
    <cfRule type="expression" dxfId="9" priority="271" stopIfTrue="1">
      <formula>RiskIsInput</formula>
    </cfRule>
  </conditionalFormatting>
  <conditionalFormatting sqref="B9:AE9 B13:AE13 B18:AE18 B21:AE21 B26:AE27 B40:AE41 B55:AE56 B61:AE61 B69:AE70">
    <cfRule type="expression" dxfId="2" priority="296" stopIfTrue="1">
      <formula>RiskIsOutput</formula>
    </cfRule>
  </conditionalFormatting>
  <conditionalFormatting sqref="B8:AE8 B17:AE17 B54:AE54 B82:AD85 AE83:AE85">
    <cfRule type="expression" dxfId="1" priority="297" stopIfTrue="1">
      <formula>RiskIsInput</formula>
    </cfRule>
  </conditionalFormatting>
  <conditionalFormatting sqref="B29:AE30 B32:AE33 B35:AE36 B43:AE44 B46:AE47 B49:AE50 B58:AE59 B62:AE62 B64:AE65 B72:AE73 B75:AE76 B78:AE79">
    <cfRule type="expression" dxfId="0" priority="298" stopIfTrue="1">
      <formula>RiskIsStatistics</formula>
    </cfRule>
  </conditionalFormatting>
  <pageMargins left="0.7" right="0.7" top="0.75" bottom="0.75" header="0.3" footer="0.3"/>
  <pageSetup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1"/>
  <sheetViews>
    <sheetView workbookViewId="0"/>
  </sheetViews>
  <sheetFormatPr defaultRowHeight="15" x14ac:dyDescent="0.25"/>
  <sheetData>
    <row r="11" spans="7:7" x14ac:dyDescent="0.25">
      <c r="G11"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selection activeCell="B15" sqref="B15"/>
    </sheetView>
  </sheetViews>
  <sheetFormatPr defaultRowHeight="15" x14ac:dyDescent="0.25"/>
  <cols>
    <col min="1" max="1" width="20.28515625" customWidth="1"/>
    <col min="2" max="2" width="12" bestFit="1" customWidth="1"/>
    <col min="5" max="5" width="11" customWidth="1"/>
  </cols>
  <sheetData>
    <row r="1" spans="1:31" x14ac:dyDescent="0.25">
      <c r="B1">
        <v>2014</v>
      </c>
      <c r="C1">
        <v>2015</v>
      </c>
      <c r="D1">
        <v>2016</v>
      </c>
      <c r="E1">
        <v>2017</v>
      </c>
      <c r="F1">
        <v>2018</v>
      </c>
      <c r="G1">
        <v>2019</v>
      </c>
      <c r="H1">
        <v>2020</v>
      </c>
      <c r="I1">
        <v>2021</v>
      </c>
      <c r="J1">
        <v>2022</v>
      </c>
      <c r="K1">
        <v>2023</v>
      </c>
      <c r="L1">
        <v>2024</v>
      </c>
      <c r="M1">
        <v>2025</v>
      </c>
      <c r="N1">
        <v>2026</v>
      </c>
      <c r="O1">
        <v>2027</v>
      </c>
      <c r="P1">
        <v>2028</v>
      </c>
      <c r="Q1">
        <v>2029</v>
      </c>
      <c r="R1">
        <v>2030</v>
      </c>
      <c r="S1">
        <v>2031</v>
      </c>
      <c r="T1">
        <v>2032</v>
      </c>
      <c r="U1">
        <v>2033</v>
      </c>
      <c r="V1">
        <v>2034</v>
      </c>
      <c r="W1">
        <v>2035</v>
      </c>
      <c r="X1">
        <v>2036</v>
      </c>
      <c r="Y1">
        <v>2037</v>
      </c>
      <c r="Z1">
        <v>2038</v>
      </c>
      <c r="AA1">
        <v>2039</v>
      </c>
      <c r="AB1">
        <v>2040</v>
      </c>
      <c r="AC1">
        <v>2041</v>
      </c>
      <c r="AD1">
        <v>2042</v>
      </c>
      <c r="AE1">
        <v>2043</v>
      </c>
    </row>
    <row r="2" spans="1:31" x14ac:dyDescent="0.25">
      <c r="A2" s="32" t="s">
        <v>358</v>
      </c>
    </row>
    <row r="3" spans="1:31" x14ac:dyDescent="0.25">
      <c r="A3" s="63" t="s">
        <v>359</v>
      </c>
      <c r="B3" s="10">
        <v>0.3</v>
      </c>
      <c r="C3">
        <f>$B$3</f>
        <v>0.3</v>
      </c>
      <c r="D3">
        <f t="shared" ref="D3:AE3" si="0">$B$3</f>
        <v>0.3</v>
      </c>
      <c r="E3">
        <f t="shared" si="0"/>
        <v>0.3</v>
      </c>
      <c r="F3">
        <f t="shared" si="0"/>
        <v>0.3</v>
      </c>
      <c r="G3">
        <f t="shared" si="0"/>
        <v>0.3</v>
      </c>
      <c r="H3">
        <f t="shared" si="0"/>
        <v>0.3</v>
      </c>
      <c r="I3">
        <f t="shared" si="0"/>
        <v>0.3</v>
      </c>
      <c r="J3">
        <f t="shared" si="0"/>
        <v>0.3</v>
      </c>
      <c r="K3">
        <f t="shared" si="0"/>
        <v>0.3</v>
      </c>
      <c r="L3">
        <f t="shared" si="0"/>
        <v>0.3</v>
      </c>
      <c r="M3">
        <f t="shared" si="0"/>
        <v>0.3</v>
      </c>
      <c r="N3">
        <f t="shared" si="0"/>
        <v>0.3</v>
      </c>
      <c r="O3">
        <f t="shared" si="0"/>
        <v>0.3</v>
      </c>
      <c r="P3">
        <f t="shared" si="0"/>
        <v>0.3</v>
      </c>
      <c r="Q3">
        <f t="shared" si="0"/>
        <v>0.3</v>
      </c>
      <c r="R3">
        <f t="shared" si="0"/>
        <v>0.3</v>
      </c>
      <c r="S3">
        <f t="shared" si="0"/>
        <v>0.3</v>
      </c>
      <c r="T3">
        <f t="shared" si="0"/>
        <v>0.3</v>
      </c>
      <c r="U3">
        <f t="shared" si="0"/>
        <v>0.3</v>
      </c>
      <c r="V3">
        <f t="shared" si="0"/>
        <v>0.3</v>
      </c>
      <c r="W3">
        <f t="shared" si="0"/>
        <v>0.3</v>
      </c>
      <c r="X3">
        <f t="shared" si="0"/>
        <v>0.3</v>
      </c>
      <c r="Y3">
        <f t="shared" si="0"/>
        <v>0.3</v>
      </c>
      <c r="Z3">
        <f t="shared" si="0"/>
        <v>0.3</v>
      </c>
      <c r="AA3">
        <f t="shared" si="0"/>
        <v>0.3</v>
      </c>
      <c r="AB3">
        <f t="shared" si="0"/>
        <v>0.3</v>
      </c>
      <c r="AC3">
        <f t="shared" si="0"/>
        <v>0.3</v>
      </c>
      <c r="AD3">
        <f t="shared" si="0"/>
        <v>0.3</v>
      </c>
      <c r="AE3">
        <f t="shared" si="0"/>
        <v>0.3</v>
      </c>
    </row>
    <row r="4" spans="1:31" x14ac:dyDescent="0.25">
      <c r="A4" s="63" t="s">
        <v>361</v>
      </c>
      <c r="B4" s="10">
        <v>0.3</v>
      </c>
      <c r="C4">
        <f>IF((B4-0.0185)&gt;0.05,B4:B4-$B$15,0.05)</f>
        <v>0.28649999999999998</v>
      </c>
      <c r="D4">
        <f t="shared" ref="D4:AE4" si="1">IF((C4-0.0185)&gt;0.05,C4:C4-$B$15,0.05)</f>
        <v>0.27299999999999996</v>
      </c>
      <c r="E4">
        <f t="shared" si="1"/>
        <v>0.25949999999999995</v>
      </c>
      <c r="F4">
        <f t="shared" si="1"/>
        <v>0.24599999999999994</v>
      </c>
      <c r="G4">
        <f t="shared" si="1"/>
        <v>0.23249999999999993</v>
      </c>
      <c r="H4">
        <f t="shared" si="1"/>
        <v>0.21899999999999992</v>
      </c>
      <c r="I4">
        <f t="shared" si="1"/>
        <v>0.2054999999999999</v>
      </c>
      <c r="J4">
        <f t="shared" si="1"/>
        <v>0.19199999999999989</v>
      </c>
      <c r="K4">
        <f t="shared" si="1"/>
        <v>0.17849999999999988</v>
      </c>
      <c r="L4">
        <f t="shared" si="1"/>
        <v>0.16499999999999987</v>
      </c>
      <c r="M4">
        <f t="shared" si="1"/>
        <v>0.15149999999999986</v>
      </c>
      <c r="N4">
        <f t="shared" si="1"/>
        <v>0.13799999999999985</v>
      </c>
      <c r="O4">
        <f t="shared" si="1"/>
        <v>0.12449999999999985</v>
      </c>
      <c r="P4">
        <f t="shared" si="1"/>
        <v>0.11099999999999985</v>
      </c>
      <c r="Q4">
        <f t="shared" si="1"/>
        <v>9.7499999999999851E-2</v>
      </c>
      <c r="R4">
        <f t="shared" si="1"/>
        <v>8.3999999999999853E-2</v>
      </c>
      <c r="S4">
        <f t="shared" si="1"/>
        <v>7.0499999999999854E-2</v>
      </c>
      <c r="T4">
        <f t="shared" si="1"/>
        <v>5.6999999999999856E-2</v>
      </c>
      <c r="U4">
        <f t="shared" si="1"/>
        <v>0.05</v>
      </c>
      <c r="V4">
        <f t="shared" si="1"/>
        <v>0.05</v>
      </c>
      <c r="W4">
        <f t="shared" si="1"/>
        <v>0.05</v>
      </c>
      <c r="X4">
        <f t="shared" si="1"/>
        <v>0.05</v>
      </c>
      <c r="Y4">
        <f t="shared" si="1"/>
        <v>0.05</v>
      </c>
      <c r="Z4">
        <f t="shared" si="1"/>
        <v>0.05</v>
      </c>
      <c r="AA4">
        <f t="shared" si="1"/>
        <v>0.05</v>
      </c>
      <c r="AB4">
        <f t="shared" si="1"/>
        <v>0.05</v>
      </c>
      <c r="AC4">
        <f t="shared" si="1"/>
        <v>0.05</v>
      </c>
      <c r="AD4">
        <f t="shared" si="1"/>
        <v>0.05</v>
      </c>
      <c r="AE4">
        <f t="shared" si="1"/>
        <v>0.05</v>
      </c>
    </row>
    <row r="5" spans="1:31" x14ac:dyDescent="0.25">
      <c r="A5" s="63" t="s">
        <v>360</v>
      </c>
      <c r="B5" s="10">
        <v>0.3</v>
      </c>
      <c r="C5">
        <f>IF((B5-$B$14)&gt;0.05,B5:B5-$B$14,0.05)</f>
        <v>0.28999999999999998</v>
      </c>
      <c r="D5">
        <f t="shared" ref="D5:AE5" si="2">IF((C5-$B$14)&gt;0.05,C5:C5-$B$14,0.05)</f>
        <v>0.27999999999999997</v>
      </c>
      <c r="E5">
        <f t="shared" si="2"/>
        <v>0.26999999999999996</v>
      </c>
      <c r="F5">
        <f t="shared" si="2"/>
        <v>0.25999999999999995</v>
      </c>
      <c r="G5">
        <f t="shared" si="2"/>
        <v>0.24999999999999994</v>
      </c>
      <c r="H5">
        <f t="shared" si="2"/>
        <v>0.23999999999999994</v>
      </c>
      <c r="I5">
        <f t="shared" si="2"/>
        <v>0.22999999999999993</v>
      </c>
      <c r="J5">
        <f t="shared" si="2"/>
        <v>0.21999999999999992</v>
      </c>
      <c r="K5">
        <f t="shared" si="2"/>
        <v>0.20999999999999991</v>
      </c>
      <c r="L5">
        <f t="shared" si="2"/>
        <v>0.1999999999999999</v>
      </c>
      <c r="M5">
        <f t="shared" si="2"/>
        <v>0.18999999999999989</v>
      </c>
      <c r="N5">
        <f t="shared" si="2"/>
        <v>0.17999999999999988</v>
      </c>
      <c r="O5">
        <f t="shared" si="2"/>
        <v>0.16999999999999987</v>
      </c>
      <c r="P5">
        <f t="shared" si="2"/>
        <v>0.15999999999999986</v>
      </c>
      <c r="Q5">
        <f t="shared" si="2"/>
        <v>0.14999999999999986</v>
      </c>
      <c r="R5">
        <f t="shared" si="2"/>
        <v>0.13999999999999985</v>
      </c>
      <c r="S5">
        <f t="shared" si="2"/>
        <v>0.12999999999999984</v>
      </c>
      <c r="T5">
        <f t="shared" si="2"/>
        <v>0.11999999999999984</v>
      </c>
      <c r="U5">
        <f t="shared" si="2"/>
        <v>0.10999999999999985</v>
      </c>
      <c r="V5">
        <f t="shared" si="2"/>
        <v>9.9999999999999853E-2</v>
      </c>
      <c r="W5">
        <f t="shared" si="2"/>
        <v>8.9999999999999858E-2</v>
      </c>
      <c r="X5">
        <f t="shared" si="2"/>
        <v>7.9999999999999863E-2</v>
      </c>
      <c r="Y5">
        <f t="shared" si="2"/>
        <v>6.9999999999999868E-2</v>
      </c>
      <c r="Z5">
        <f t="shared" si="2"/>
        <v>5.9999999999999866E-2</v>
      </c>
      <c r="AA5">
        <f t="shared" si="2"/>
        <v>0.05</v>
      </c>
      <c r="AB5">
        <f t="shared" si="2"/>
        <v>0.05</v>
      </c>
      <c r="AC5">
        <f t="shared" si="2"/>
        <v>0.05</v>
      </c>
      <c r="AD5">
        <f t="shared" si="2"/>
        <v>0.05</v>
      </c>
      <c r="AE5">
        <f t="shared" si="2"/>
        <v>0.05</v>
      </c>
    </row>
    <row r="6" spans="1:31" x14ac:dyDescent="0.25">
      <c r="A6" s="32" t="s">
        <v>362</v>
      </c>
    </row>
    <row r="7" spans="1:31" x14ac:dyDescent="0.25">
      <c r="A7" s="63" t="s">
        <v>363</v>
      </c>
      <c r="B7" s="10">
        <v>0.05</v>
      </c>
      <c r="C7">
        <f>$B$7</f>
        <v>0.05</v>
      </c>
      <c r="D7">
        <f t="shared" ref="D7:AE7" si="3">$B$7</f>
        <v>0.05</v>
      </c>
      <c r="E7">
        <f t="shared" si="3"/>
        <v>0.05</v>
      </c>
      <c r="F7">
        <f t="shared" si="3"/>
        <v>0.05</v>
      </c>
      <c r="G7">
        <f t="shared" si="3"/>
        <v>0.05</v>
      </c>
      <c r="H7">
        <f t="shared" si="3"/>
        <v>0.05</v>
      </c>
      <c r="I7">
        <f t="shared" si="3"/>
        <v>0.05</v>
      </c>
      <c r="J7">
        <f t="shared" si="3"/>
        <v>0.05</v>
      </c>
      <c r="K7">
        <f t="shared" si="3"/>
        <v>0.05</v>
      </c>
      <c r="L7">
        <f t="shared" si="3"/>
        <v>0.05</v>
      </c>
      <c r="M7">
        <f t="shared" si="3"/>
        <v>0.05</v>
      </c>
      <c r="N7">
        <f t="shared" si="3"/>
        <v>0.05</v>
      </c>
      <c r="O7">
        <f t="shared" si="3"/>
        <v>0.05</v>
      </c>
      <c r="P7">
        <f t="shared" si="3"/>
        <v>0.05</v>
      </c>
      <c r="Q7">
        <f t="shared" si="3"/>
        <v>0.05</v>
      </c>
      <c r="R7">
        <f t="shared" si="3"/>
        <v>0.05</v>
      </c>
      <c r="S7">
        <f t="shared" si="3"/>
        <v>0.05</v>
      </c>
      <c r="T7">
        <f t="shared" si="3"/>
        <v>0.05</v>
      </c>
      <c r="U7">
        <f t="shared" si="3"/>
        <v>0.05</v>
      </c>
      <c r="V7">
        <f t="shared" si="3"/>
        <v>0.05</v>
      </c>
      <c r="W7">
        <f t="shared" si="3"/>
        <v>0.05</v>
      </c>
      <c r="X7">
        <f t="shared" si="3"/>
        <v>0.05</v>
      </c>
      <c r="Y7">
        <f t="shared" si="3"/>
        <v>0.05</v>
      </c>
      <c r="Z7">
        <f t="shared" si="3"/>
        <v>0.05</v>
      </c>
      <c r="AA7">
        <f t="shared" si="3"/>
        <v>0.05</v>
      </c>
      <c r="AB7">
        <f t="shared" si="3"/>
        <v>0.05</v>
      </c>
      <c r="AC7">
        <f t="shared" si="3"/>
        <v>0.05</v>
      </c>
      <c r="AD7">
        <f t="shared" si="3"/>
        <v>0.05</v>
      </c>
      <c r="AE7">
        <f t="shared" si="3"/>
        <v>0.05</v>
      </c>
    </row>
    <row r="8" spans="1:31" x14ac:dyDescent="0.25">
      <c r="A8" s="63" t="s">
        <v>365</v>
      </c>
      <c r="B8" s="10">
        <v>0</v>
      </c>
      <c r="C8">
        <f>IF(B8&gt;=0.2,0.2,B8+0.0085)</f>
        <v>8.5000000000000006E-3</v>
      </c>
      <c r="D8">
        <f t="shared" ref="D8:U8" si="4">IF(C8&gt;=0.2,0.2,C8+0.0085)</f>
        <v>1.7000000000000001E-2</v>
      </c>
      <c r="E8">
        <f t="shared" si="4"/>
        <v>2.5500000000000002E-2</v>
      </c>
      <c r="F8">
        <f t="shared" si="4"/>
        <v>3.4000000000000002E-2</v>
      </c>
      <c r="G8">
        <f t="shared" si="4"/>
        <v>4.2500000000000003E-2</v>
      </c>
      <c r="H8">
        <f t="shared" si="4"/>
        <v>5.1000000000000004E-2</v>
      </c>
      <c r="I8">
        <f t="shared" si="4"/>
        <v>5.9500000000000004E-2</v>
      </c>
      <c r="J8">
        <f t="shared" si="4"/>
        <v>6.8000000000000005E-2</v>
      </c>
      <c r="K8">
        <f t="shared" si="4"/>
        <v>7.6500000000000012E-2</v>
      </c>
      <c r="L8">
        <f t="shared" si="4"/>
        <v>8.500000000000002E-2</v>
      </c>
      <c r="M8">
        <f t="shared" si="4"/>
        <v>9.3500000000000028E-2</v>
      </c>
      <c r="N8">
        <f t="shared" si="4"/>
        <v>0.10200000000000004</v>
      </c>
      <c r="O8">
        <f t="shared" si="4"/>
        <v>0.11050000000000004</v>
      </c>
      <c r="P8">
        <f t="shared" si="4"/>
        <v>0.11900000000000005</v>
      </c>
      <c r="Q8">
        <f t="shared" si="4"/>
        <v>0.12750000000000006</v>
      </c>
      <c r="R8">
        <f t="shared" si="4"/>
        <v>0.13600000000000007</v>
      </c>
      <c r="S8">
        <f t="shared" si="4"/>
        <v>0.14450000000000007</v>
      </c>
      <c r="T8">
        <f t="shared" si="4"/>
        <v>0.15300000000000008</v>
      </c>
      <c r="U8">
        <f t="shared" si="4"/>
        <v>0.16150000000000009</v>
      </c>
      <c r="V8">
        <f t="shared" ref="V8" si="5">IF(U8&gt;=0.2,0.2,U8+0.0085)</f>
        <v>0.1700000000000001</v>
      </c>
      <c r="W8">
        <f t="shared" ref="W8" si="6">IF(V8&gt;=0.2,0.2,V8+0.0085)</f>
        <v>0.1785000000000001</v>
      </c>
      <c r="X8">
        <f t="shared" ref="X8" si="7">IF(W8&gt;=0.2,0.2,W8+0.0085)</f>
        <v>0.18700000000000011</v>
      </c>
      <c r="Y8">
        <f t="shared" ref="Y8" si="8">IF(X8&gt;=0.2,0.2,X8+0.0085)</f>
        <v>0.19550000000000012</v>
      </c>
      <c r="Z8">
        <f t="shared" ref="Z8" si="9">IF(Y8&gt;=0.2,0.2,Y8+0.0085)</f>
        <v>0.20400000000000013</v>
      </c>
      <c r="AA8">
        <f t="shared" ref="AA8" si="10">IF(Z8&gt;=0.2,0.2,Z8+0.0085)</f>
        <v>0.2</v>
      </c>
      <c r="AB8">
        <f t="shared" ref="AB8" si="11">IF(AA8&gt;=0.2,0.2,AA8+0.0085)</f>
        <v>0.2</v>
      </c>
      <c r="AC8">
        <f t="shared" ref="AC8" si="12">IF(AB8&gt;=0.2,0.2,AB8+0.0085)</f>
        <v>0.2</v>
      </c>
      <c r="AD8">
        <f t="shared" ref="AD8" si="13">IF(AC8&gt;=0.2,0.2,AC8+0.0085)</f>
        <v>0.2</v>
      </c>
      <c r="AE8">
        <f t="shared" ref="AE8" si="14">IF(AD8&gt;=0.2,0.2,AD8+0.0085)</f>
        <v>0.2</v>
      </c>
    </row>
    <row r="9" spans="1:31" x14ac:dyDescent="0.25">
      <c r="A9" s="63" t="s">
        <v>364</v>
      </c>
      <c r="B9" s="10">
        <v>0</v>
      </c>
      <c r="C9">
        <f t="shared" ref="C9:U9" si="15">IF(B9&gt;=0.2,0.2,B9+0.013)</f>
        <v>1.2999999999999999E-2</v>
      </c>
      <c r="D9">
        <f t="shared" si="15"/>
        <v>2.5999999999999999E-2</v>
      </c>
      <c r="E9">
        <f t="shared" si="15"/>
        <v>3.9E-2</v>
      </c>
      <c r="F9">
        <f t="shared" si="15"/>
        <v>5.1999999999999998E-2</v>
      </c>
      <c r="G9">
        <f t="shared" si="15"/>
        <v>6.5000000000000002E-2</v>
      </c>
      <c r="H9">
        <f t="shared" si="15"/>
        <v>7.8E-2</v>
      </c>
      <c r="I9">
        <f t="shared" si="15"/>
        <v>9.0999999999999998E-2</v>
      </c>
      <c r="J9">
        <f t="shared" si="15"/>
        <v>0.104</v>
      </c>
      <c r="K9">
        <f t="shared" si="15"/>
        <v>0.11699999999999999</v>
      </c>
      <c r="L9">
        <f t="shared" si="15"/>
        <v>0.13</v>
      </c>
      <c r="M9">
        <f t="shared" si="15"/>
        <v>0.14300000000000002</v>
      </c>
      <c r="N9">
        <f t="shared" si="15"/>
        <v>0.15600000000000003</v>
      </c>
      <c r="O9">
        <f t="shared" si="15"/>
        <v>0.16900000000000004</v>
      </c>
      <c r="P9">
        <f t="shared" si="15"/>
        <v>0.18200000000000005</v>
      </c>
      <c r="Q9">
        <f t="shared" si="15"/>
        <v>0.19500000000000006</v>
      </c>
      <c r="R9">
        <f t="shared" si="15"/>
        <v>0.20800000000000007</v>
      </c>
      <c r="S9">
        <f t="shared" si="15"/>
        <v>0.2</v>
      </c>
      <c r="T9">
        <f t="shared" si="15"/>
        <v>0.2</v>
      </c>
      <c r="U9">
        <f t="shared" si="15"/>
        <v>0.2</v>
      </c>
      <c r="V9">
        <f t="shared" ref="V9" si="16">IF(U9&gt;=0.2,0.2,U9+0.013)</f>
        <v>0.2</v>
      </c>
      <c r="W9">
        <f t="shared" ref="W9" si="17">IF(V9&gt;=0.2,0.2,V9+0.013)</f>
        <v>0.2</v>
      </c>
      <c r="X9">
        <f t="shared" ref="X9" si="18">IF(W9&gt;=0.2,0.2,W9+0.013)</f>
        <v>0.2</v>
      </c>
      <c r="Y9">
        <f t="shared" ref="Y9" si="19">IF(X9&gt;=0.2,0.2,X9+0.013)</f>
        <v>0.2</v>
      </c>
      <c r="Z9">
        <f t="shared" ref="Z9" si="20">IF(Y9&gt;=0.2,0.2,Y9+0.013)</f>
        <v>0.2</v>
      </c>
      <c r="AA9">
        <f t="shared" ref="AA9" si="21">IF(Z9&gt;=0.2,0.2,Z9+0.013)</f>
        <v>0.2</v>
      </c>
      <c r="AB9">
        <f t="shared" ref="AB9" si="22">IF(AA9&gt;=0.2,0.2,AA9+0.013)</f>
        <v>0.2</v>
      </c>
      <c r="AC9">
        <f t="shared" ref="AC9" si="23">IF(AB9&gt;=0.2,0.2,AB9+0.013)</f>
        <v>0.2</v>
      </c>
      <c r="AD9">
        <f t="shared" ref="AD9" si="24">IF(AC9&gt;=0.2,0.2,AC9+0.013)</f>
        <v>0.2</v>
      </c>
      <c r="AE9">
        <f t="shared" ref="AE9" si="25">IF(AD9&gt;=0.2,0.2,AD9+0.013)</f>
        <v>0.2</v>
      </c>
    </row>
    <row r="11" spans="1:31" x14ac:dyDescent="0.25">
      <c r="B11">
        <v>1</v>
      </c>
      <c r="C11">
        <v>2</v>
      </c>
      <c r="D11">
        <v>3</v>
      </c>
      <c r="E11">
        <v>4</v>
      </c>
      <c r="F11">
        <v>5</v>
      </c>
      <c r="G11">
        <v>6</v>
      </c>
      <c r="H11">
        <v>7</v>
      </c>
      <c r="I11">
        <v>8</v>
      </c>
      <c r="J11">
        <v>9</v>
      </c>
      <c r="K11">
        <v>10</v>
      </c>
      <c r="L11">
        <v>11</v>
      </c>
      <c r="M11">
        <v>12</v>
      </c>
      <c r="N11">
        <v>13</v>
      </c>
      <c r="O11">
        <v>14</v>
      </c>
      <c r="P11">
        <v>15</v>
      </c>
      <c r="Q11">
        <v>16</v>
      </c>
      <c r="R11">
        <v>17</v>
      </c>
      <c r="S11">
        <v>18</v>
      </c>
      <c r="T11">
        <v>19</v>
      </c>
      <c r="U11">
        <v>20</v>
      </c>
      <c r="V11">
        <v>21</v>
      </c>
      <c r="W11">
        <v>22</v>
      </c>
      <c r="X11">
        <v>23</v>
      </c>
      <c r="Y11">
        <v>24</v>
      </c>
      <c r="Z11">
        <v>25</v>
      </c>
      <c r="AA11">
        <v>26</v>
      </c>
      <c r="AB11">
        <v>27</v>
      </c>
      <c r="AC11">
        <v>28</v>
      </c>
      <c r="AD11">
        <v>29</v>
      </c>
      <c r="AE11">
        <v>30</v>
      </c>
    </row>
    <row r="14" spans="1:31" x14ac:dyDescent="0.25">
      <c r="A14" s="32" t="s">
        <v>393</v>
      </c>
      <c r="B14" s="10">
        <v>0.01</v>
      </c>
    </row>
    <row r="15" spans="1:31" x14ac:dyDescent="0.25">
      <c r="A15" s="32" t="s">
        <v>394</v>
      </c>
      <c r="B15" s="10">
        <v>1.35E-2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workbookViewId="0">
      <selection activeCell="Q81" sqref="Q8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senseInfo</vt:lpstr>
      <vt:lpstr>RiskSerializationData</vt:lpstr>
      <vt:lpstr>Description</vt:lpstr>
      <vt:lpstr>RiskSwappedFuncs</vt:lpstr>
      <vt:lpstr>Model</vt:lpstr>
      <vt:lpstr>_PalUtilTempWorksheet</vt:lpstr>
      <vt:lpstr>RiskSimTable_Inputs</vt:lpstr>
      <vt:lpstr>Graphs</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wtravis</dc:creator>
  <cp:lastModifiedBy>wtravis</cp:lastModifiedBy>
  <dcterms:created xsi:type="dcterms:W3CDTF">2014-04-28T05:26:32Z</dcterms:created>
  <dcterms:modified xsi:type="dcterms:W3CDTF">2015-06-14T05:23:06Z</dcterms:modified>
</cp:coreProperties>
</file>